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23" sheetId="15" r:id="rId1"/>
    <sheet name="2022" sheetId="14" r:id="rId2"/>
    <sheet name="2021" sheetId="13" r:id="rId3"/>
    <sheet name="2020" sheetId="12" r:id="rId4"/>
    <sheet name="2019" sheetId="11" r:id="rId5"/>
    <sheet name="2018" sheetId="10" r:id="rId6"/>
    <sheet name="2017 " sheetId="6" r:id="rId7"/>
    <sheet name="2016" sheetId="1" r:id="rId8"/>
    <sheet name="2015" sheetId="7" r:id="rId9"/>
    <sheet name="2014" sheetId="9" r:id="rId10"/>
    <sheet name="2013" sheetId="8" r:id="rId11"/>
  </sheets>
  <externalReferences>
    <externalReference r:id="rId12"/>
  </externalReferences>
  <definedNames>
    <definedName name="flagSum_List02_2" localSheetId="10">'2013'!$G$17:$G$28</definedName>
    <definedName name="flagSum_List02_2" localSheetId="9">'2014'!$H$17:$H$28</definedName>
    <definedName name="flagSum_List02_2">'2015'!$H$17:$H$28</definedName>
    <definedName name="kind_of_fuels">[1]TEHSHEET!$M$2:$M$29</definedName>
    <definedName name="sub_1008" localSheetId="10">'2013'!$A$2</definedName>
    <definedName name="sub_1008" localSheetId="9">'2014'!$A$2</definedName>
    <definedName name="sub_1008" localSheetId="8">'2015'!$A$2</definedName>
    <definedName name="sub_1008" localSheetId="7">'2016'!$A$2</definedName>
    <definedName name="sub_1008" localSheetId="6">'2017 '!$A$2</definedName>
    <definedName name="sub_100801" localSheetId="10">'2013'!$A$6</definedName>
    <definedName name="sub_100801" localSheetId="9">'2014'!$A$6</definedName>
    <definedName name="sub_100801" localSheetId="8">'2015'!$A$6</definedName>
    <definedName name="sub_100801" localSheetId="7">'2016'!$A$6</definedName>
    <definedName name="sub_100801" localSheetId="6">'2017 '!$A$6</definedName>
    <definedName name="sub_100802" localSheetId="10">'2013'!$A$7</definedName>
    <definedName name="sub_100802" localSheetId="9">'2014'!$A$7</definedName>
    <definedName name="sub_100802" localSheetId="8">'2015'!$A$7</definedName>
    <definedName name="sub_100802" localSheetId="7">'2016'!$A$7</definedName>
    <definedName name="sub_100802" localSheetId="6">'2017 '!$A$7</definedName>
    <definedName name="sub_10080201" localSheetId="10">'2013'!$A$8</definedName>
    <definedName name="sub_10080201" localSheetId="9">'2014'!$A$8</definedName>
    <definedName name="sub_10080201" localSheetId="8">'2015'!$A$8</definedName>
    <definedName name="sub_10080201" localSheetId="7">'2016'!$A$8</definedName>
    <definedName name="sub_10080201" localSheetId="6">'2017 '!$A$8</definedName>
    <definedName name="sub_10080202" localSheetId="10">'2013'!$A$9</definedName>
    <definedName name="sub_10080202" localSheetId="9">'2014'!$A$9</definedName>
    <definedName name="sub_10080202" localSheetId="8">'2015'!$A$9</definedName>
    <definedName name="sub_10080202" localSheetId="7">'2016'!$A$9</definedName>
    <definedName name="sub_10080202" localSheetId="6">'2017 '!$A$9</definedName>
    <definedName name="sub_10080203" localSheetId="10">'2013'!$A$17</definedName>
    <definedName name="sub_10080203" localSheetId="9">'2014'!$A$17</definedName>
    <definedName name="sub_10080203" localSheetId="8">'2015'!$A$17</definedName>
    <definedName name="sub_10080203" localSheetId="7">'2016'!$A$17</definedName>
    <definedName name="sub_10080203" localSheetId="6">'2017 '!$A$17</definedName>
    <definedName name="sub_10080204" localSheetId="10">'2013'!$A$20</definedName>
    <definedName name="sub_10080204" localSheetId="9">'2014'!$A$20</definedName>
    <definedName name="sub_10080204" localSheetId="8">'2015'!$A$20</definedName>
    <definedName name="sub_10080204" localSheetId="7">'2016'!$A$20</definedName>
    <definedName name="sub_10080204" localSheetId="6">'2017 '!$A$20</definedName>
    <definedName name="sub_10080205" localSheetId="10">'2013'!$A$21</definedName>
    <definedName name="sub_10080205" localSheetId="9">'2014'!$A$21</definedName>
    <definedName name="sub_10080205" localSheetId="8">'2015'!$A$21</definedName>
    <definedName name="sub_10080205" localSheetId="7">'2016'!$A$21</definedName>
    <definedName name="sub_10080205" localSheetId="6">'2017 '!$A$21</definedName>
    <definedName name="sub_10080206" localSheetId="10">'2013'!$A$22</definedName>
    <definedName name="sub_10080206" localSheetId="9">'2014'!$A$22</definedName>
    <definedName name="sub_10080206" localSheetId="8">'2015'!$A$22</definedName>
    <definedName name="sub_10080206" localSheetId="7">'2016'!$A$22</definedName>
    <definedName name="sub_10080206" localSheetId="6">'2017 '!$A$22</definedName>
    <definedName name="sub_10080207" localSheetId="10">'2013'!$A$23</definedName>
    <definedName name="sub_10080207" localSheetId="9">'2014'!$A$23</definedName>
    <definedName name="sub_10080207" localSheetId="8">'2015'!$A$23</definedName>
    <definedName name="sub_10080207" localSheetId="7">'2016'!$A$23</definedName>
    <definedName name="sub_10080207" localSheetId="6">'2017 '!$A$23</definedName>
    <definedName name="sub_10080208" localSheetId="10">'2013'!$A$24</definedName>
    <definedName name="sub_10080208" localSheetId="9">'2014'!$A$24</definedName>
    <definedName name="sub_10080208" localSheetId="8">'2015'!$A$24</definedName>
    <definedName name="sub_10080208" localSheetId="7">'2016'!$A$24</definedName>
    <definedName name="sub_10080208" localSheetId="6">'2017 '!$A$24</definedName>
    <definedName name="sub_10080209" localSheetId="10">'2013'!$A$25</definedName>
    <definedName name="sub_10080209" localSheetId="9">'2014'!$A$25</definedName>
    <definedName name="sub_10080209" localSheetId="8">'2015'!$A$25</definedName>
    <definedName name="sub_10080209" localSheetId="7">'2016'!$A$25</definedName>
    <definedName name="sub_10080209" localSheetId="6">'2017 '!$A$25</definedName>
    <definedName name="sub_10080210" localSheetId="10">'2013'!$A$26</definedName>
    <definedName name="sub_10080210" localSheetId="9">'2014'!$A$26</definedName>
    <definedName name="sub_10080210" localSheetId="8">'2015'!$A$26</definedName>
    <definedName name="sub_10080210" localSheetId="7">'2016'!$A$26</definedName>
    <definedName name="sub_10080210" localSheetId="6">'2017 '!$A$26</definedName>
    <definedName name="sub_10080211" localSheetId="10">'2013'!$A$29</definedName>
    <definedName name="sub_10080211" localSheetId="9">'2014'!$A$29</definedName>
    <definedName name="sub_10080211" localSheetId="8">'2015'!$A$29</definedName>
    <definedName name="sub_10080211" localSheetId="7">'2016'!$A$29</definedName>
    <definedName name="sub_10080211" localSheetId="6">'2017 '!$A$29</definedName>
    <definedName name="sub_10080212" localSheetId="10">'2013'!$A$32</definedName>
    <definedName name="sub_10080212" localSheetId="9">'2014'!$A$32</definedName>
    <definedName name="sub_10080212" localSheetId="8">'2015'!$A$32</definedName>
    <definedName name="sub_10080212" localSheetId="7">'2016'!$A$32</definedName>
    <definedName name="sub_10080212" localSheetId="6">'2017 '!$A$32</definedName>
    <definedName name="sub_10080213" localSheetId="10">'2013'!$A$33</definedName>
    <definedName name="sub_10080213" localSheetId="9">'2014'!$A$33</definedName>
    <definedName name="sub_10080213" localSheetId="8">'2015'!$A$33</definedName>
    <definedName name="sub_10080213" localSheetId="7">'2016'!$A$33</definedName>
    <definedName name="sub_10080213" localSheetId="6">'2017 '!$A$33</definedName>
    <definedName name="sub_100803" localSheetId="10">'2013'!$A$34</definedName>
    <definedName name="sub_100803" localSheetId="9">'2014'!$A$34</definedName>
    <definedName name="sub_100803" localSheetId="8">'2015'!$A$34</definedName>
    <definedName name="sub_100803" localSheetId="7">'2016'!$A$34</definedName>
    <definedName name="sub_100803" localSheetId="6">'2017 '!$A$34</definedName>
    <definedName name="sub_100804" localSheetId="10">'2013'!$A$35</definedName>
    <definedName name="sub_100804" localSheetId="9">'2014'!$A$35</definedName>
    <definedName name="sub_100804" localSheetId="8">'2015'!$A$35</definedName>
    <definedName name="sub_100804" localSheetId="7">'2016'!$A$35</definedName>
    <definedName name="sub_100804" localSheetId="6">'2017 '!$A$35</definedName>
    <definedName name="sub_100805" localSheetId="10">'2013'!$A$36</definedName>
    <definedName name="sub_100805" localSheetId="9">'2014'!$A$36</definedName>
    <definedName name="sub_100805" localSheetId="8">'2015'!$A$36</definedName>
    <definedName name="sub_100805" localSheetId="7">'2016'!$A$36</definedName>
    <definedName name="sub_100805" localSheetId="6">'2017 '!$A$36</definedName>
    <definedName name="sub_100806" localSheetId="10">'2013'!$A$37</definedName>
    <definedName name="sub_100806" localSheetId="9">'2014'!$A$37</definedName>
    <definedName name="sub_100806" localSheetId="8">'2015'!$A$37</definedName>
    <definedName name="sub_100806" localSheetId="7">'2016'!$A$37</definedName>
    <definedName name="sub_100806" localSheetId="6">'2017 '!$A$37</definedName>
    <definedName name="sub_100807" localSheetId="10">'2013'!$A$38</definedName>
    <definedName name="sub_100807" localSheetId="9">'2014'!$A$38</definedName>
    <definedName name="sub_100807" localSheetId="8">'2015'!$A$38</definedName>
    <definedName name="sub_100807" localSheetId="7">'2016'!$A$38</definedName>
    <definedName name="sub_100807" localSheetId="6">'2017 '!$A$38</definedName>
    <definedName name="sub_100808" localSheetId="10">'2013'!$A$39</definedName>
    <definedName name="sub_100808" localSheetId="9">'2014'!$A$39</definedName>
    <definedName name="sub_100808" localSheetId="8">'2015'!$A$39</definedName>
    <definedName name="sub_100808" localSheetId="7">'2016'!$A$39</definedName>
    <definedName name="sub_100808" localSheetId="6">'2017 '!$A$39</definedName>
    <definedName name="sub_100809" localSheetId="10">'2013'!$A$40</definedName>
    <definedName name="sub_100809" localSheetId="9">'2014'!$A$40</definedName>
    <definedName name="sub_100809" localSheetId="8">'2015'!$A$40</definedName>
    <definedName name="sub_100809" localSheetId="7">'2016'!$A$40</definedName>
    <definedName name="sub_100809" localSheetId="6">'2017 '!$A$40</definedName>
    <definedName name="sub_100810" localSheetId="10">'2013'!$A$41</definedName>
    <definedName name="sub_100810" localSheetId="9">'2014'!$A$41</definedName>
    <definedName name="sub_100810" localSheetId="8">'2015'!$A$41</definedName>
    <definedName name="sub_100810" localSheetId="7">'2016'!$A$41</definedName>
    <definedName name="sub_100810" localSheetId="6">'2017 '!$A$41</definedName>
    <definedName name="sub_100811" localSheetId="10">'2013'!$A$42</definedName>
    <definedName name="sub_100811" localSheetId="9">'2014'!$A$42</definedName>
    <definedName name="sub_100811" localSheetId="8">'2015'!$A$42</definedName>
    <definedName name="sub_100811" localSheetId="7">'2016'!$A$42</definedName>
    <definedName name="sub_100811" localSheetId="6">'2017 '!$A$42</definedName>
    <definedName name="sub_100812" localSheetId="10">'2013'!$A$43</definedName>
    <definedName name="sub_100812" localSheetId="9">'2014'!$A$43</definedName>
    <definedName name="sub_100812" localSheetId="8">'2015'!$A$43</definedName>
    <definedName name="sub_100812" localSheetId="7">'2016'!$A$43</definedName>
    <definedName name="sub_100812" localSheetId="6">'2017 '!$A$43</definedName>
    <definedName name="sub_100813" localSheetId="10">'2013'!$A$44</definedName>
    <definedName name="sub_100813" localSheetId="9">'2014'!$A$44</definedName>
    <definedName name="sub_100813" localSheetId="8">'2015'!$A$44</definedName>
    <definedName name="sub_100813" localSheetId="7">'2016'!$A$44</definedName>
    <definedName name="sub_100813" localSheetId="6">'2017 '!$A$44</definedName>
    <definedName name="sub_100814" localSheetId="10">'2013'!$A$45</definedName>
    <definedName name="sub_100814" localSheetId="9">'2014'!$A$45</definedName>
    <definedName name="sub_100814" localSheetId="8">'2015'!$A$45</definedName>
    <definedName name="sub_100814" localSheetId="7">'2016'!$A$45</definedName>
    <definedName name="sub_100814" localSheetId="6">'2017 '!$A$45</definedName>
    <definedName name="sub_100815" localSheetId="10">'2013'!$A$46</definedName>
    <definedName name="sub_100815" localSheetId="9">'2014'!$A$46</definedName>
    <definedName name="sub_100815" localSheetId="8">'2015'!$A$46</definedName>
    <definedName name="sub_100815" localSheetId="7">'2016'!$A$46</definedName>
    <definedName name="sub_100815" localSheetId="6">'2017 '!$A$46</definedName>
    <definedName name="sub_100816" localSheetId="10">'2013'!$A$47</definedName>
    <definedName name="sub_100816" localSheetId="9">'2014'!$A$47</definedName>
    <definedName name="sub_100816" localSheetId="8">'2015'!$A$47</definedName>
    <definedName name="sub_100816" localSheetId="7">'2016'!$A$47</definedName>
    <definedName name="sub_100816" localSheetId="6">'2017 '!$A$47</definedName>
    <definedName name="sub_100817" localSheetId="10">'2013'!$A$48</definedName>
    <definedName name="sub_100817" localSheetId="9">'2014'!$A$48</definedName>
    <definedName name="sub_100817" localSheetId="8">'2015'!$A$48</definedName>
    <definedName name="sub_100817" localSheetId="7">'2016'!$A$48</definedName>
    <definedName name="sub_100817" localSheetId="6">'2017 '!$A$48</definedName>
    <definedName name="sub_100818" localSheetId="10">'2013'!$A$49</definedName>
    <definedName name="sub_100818" localSheetId="9">'2014'!$A$49</definedName>
    <definedName name="sub_100818" localSheetId="8">'2015'!$A$49</definedName>
    <definedName name="sub_100818" localSheetId="7">'2016'!$A$49</definedName>
    <definedName name="sub_100818" localSheetId="6">'2017 '!$A$49</definedName>
    <definedName name="_xlnm.Print_Area" localSheetId="10">'2013'!$A$1:$B$49</definedName>
    <definedName name="_xlnm.Print_Area" localSheetId="8">'2015'!$A$1:$B$49</definedName>
    <definedName name="_xlnm.Print_Area" localSheetId="5">'2018'!$A$1:$B$49</definedName>
    <definedName name="_xlnm.Print_Area" localSheetId="2">'2021'!$A$1:$B$49</definedName>
  </definedNames>
  <calcPr calcId="145621"/>
</workbook>
</file>

<file path=xl/calcChain.xml><?xml version="1.0" encoding="utf-8"?>
<calcChain xmlns="http://schemas.openxmlformats.org/spreadsheetml/2006/main">
  <c r="B48" i="15" l="1"/>
  <c r="B47" i="15"/>
  <c r="B49" i="15"/>
  <c r="B26" i="15" l="1"/>
  <c r="B23" i="15"/>
  <c r="B29" i="15" s="1"/>
  <c r="B22" i="15"/>
  <c r="B12" i="15" l="1"/>
  <c r="B10" i="15" s="1"/>
  <c r="B9" i="15" s="1"/>
  <c r="B7" i="15" s="1"/>
  <c r="B43" i="15"/>
  <c r="B18" i="15"/>
  <c r="B49" i="14" l="1"/>
  <c r="B48" i="14"/>
  <c r="B47" i="14"/>
  <c r="B7" i="14" l="1"/>
  <c r="B29" i="14"/>
  <c r="B26" i="14"/>
  <c r="B23" i="14"/>
  <c r="B12" i="13" l="1"/>
  <c r="B10" i="13" s="1"/>
  <c r="B12" i="12"/>
  <c r="B10" i="12" s="1"/>
  <c r="B12" i="14"/>
  <c r="B6" i="14"/>
  <c r="B43" i="14"/>
  <c r="B18" i="14"/>
  <c r="B10" i="14"/>
  <c r="B9" i="14" s="1"/>
  <c r="B29" i="13" l="1"/>
  <c r="B49" i="13" l="1"/>
  <c r="B48" i="13"/>
  <c r="B47" i="13"/>
  <c r="B22" i="13"/>
  <c r="B26" i="13"/>
  <c r="B23" i="13" l="1"/>
  <c r="B6" i="13" l="1"/>
  <c r="B43" i="13" l="1"/>
  <c r="B18" i="13"/>
  <c r="B9" i="13"/>
  <c r="B7" i="13" l="1"/>
  <c r="B43" i="12"/>
  <c r="B48" i="12" l="1"/>
  <c r="B49" i="12"/>
  <c r="B47" i="12"/>
  <c r="B29" i="12"/>
  <c r="B26" i="12"/>
  <c r="B23" i="12"/>
  <c r="B22" i="12"/>
  <c r="B16" i="12" l="1"/>
  <c r="B18" i="12"/>
  <c r="B9" i="12" l="1"/>
  <c r="B7" i="12" s="1"/>
  <c r="B49" i="11"/>
  <c r="B48" i="11"/>
  <c r="B47" i="11"/>
  <c r="B26" i="11"/>
  <c r="B7" i="11" s="1"/>
  <c r="B29" i="11"/>
  <c r="B22" i="11"/>
  <c r="B14" i="11"/>
  <c r="B10" i="11"/>
  <c r="B12" i="11"/>
  <c r="B18" i="11"/>
  <c r="B47" i="10"/>
  <c r="B29" i="10"/>
  <c r="B49" i="10"/>
  <c r="B48" i="10"/>
  <c r="B30" i="10"/>
  <c r="B9" i="11" l="1"/>
  <c r="B18" i="10"/>
  <c r="B12" i="10"/>
  <c r="B10" i="10" s="1"/>
  <c r="B9" i="10" s="1"/>
  <c r="B7" i="10" s="1"/>
  <c r="B25" i="8"/>
  <c r="B33" i="7"/>
  <c r="B49" i="7"/>
  <c r="B48" i="7"/>
  <c r="B18" i="7"/>
  <c r="B49" i="1" l="1"/>
  <c r="B48" i="1"/>
  <c r="B49" i="6"/>
  <c r="B48" i="6"/>
  <c r="B23" i="8" l="1"/>
  <c r="B23" i="9"/>
  <c r="B22" i="9"/>
  <c r="B17" i="9"/>
  <c r="B14" i="9"/>
  <c r="B10" i="9"/>
  <c r="B9" i="9" s="1"/>
  <c r="B10" i="8"/>
  <c r="B17" i="8"/>
  <c r="B14" i="8"/>
  <c r="B23" i="7"/>
  <c r="B29" i="7" s="1"/>
  <c r="B22" i="7"/>
  <c r="B16" i="7"/>
  <c r="B14" i="7" s="1"/>
  <c r="B9" i="7" s="1"/>
  <c r="B10" i="7"/>
  <c r="B10" i="1"/>
  <c r="B23" i="1"/>
  <c r="B22" i="1"/>
  <c r="B14" i="1"/>
  <c r="B6" i="1"/>
  <c r="B23" i="6"/>
  <c r="B22" i="6"/>
  <c r="B7" i="6" s="1"/>
  <c r="B9" i="6"/>
  <c r="B6" i="6"/>
  <c r="B9" i="1" l="1"/>
  <c r="B7" i="9"/>
  <c r="B9" i="8"/>
  <c r="B7" i="8" s="1"/>
  <c r="B7" i="7"/>
  <c r="B7" i="1"/>
</calcChain>
</file>

<file path=xl/sharedStrings.xml><?xml version="1.0" encoding="utf-8"?>
<sst xmlns="http://schemas.openxmlformats.org/spreadsheetml/2006/main" count="530" uniqueCount="58">
  <si>
    <t>Форма 8.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</si>
  <si>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 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</si>
  <si>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</si>
  <si>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</si>
  <si>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</si>
  <si>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г) расходы на приобретение холодной воды, используемой в технологическом процессе;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</si>
  <si>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</si>
  <si>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</si>
  <si>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</si>
  <si>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</si>
  <si>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год)*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</si>
  <si>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</si>
  <si>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</si>
  <si>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</si>
  <si>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</si>
  <si>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</si>
  <si>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</si>
  <si>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</si>
  <si>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</si>
  <si>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</si>
  <si>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</si>
  <si>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</si>
  <si>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кВтч/Гкал)</t>
  </si>
  <si>
    <t>1. Газ природный по регулируемой цене (тыс. рублей)</t>
  </si>
  <si>
    <t>1.1.1 Объем (тыс. м3)</t>
  </si>
  <si>
    <t>1.1.2 Стоимость за единицу объема  (тыс. рублей)</t>
  </si>
  <si>
    <t>1.1.3 Стоимость доставки  (тыс. рублей)</t>
  </si>
  <si>
    <t>1.2 дизельное топливо (тыс. рублей)</t>
  </si>
  <si>
    <t>1.2.1 Объем тонны</t>
  </si>
  <si>
    <t>1.2.2. Стоимость за единицу объема (тыс. рублей)</t>
  </si>
  <si>
    <t>д) расходы на химические реагенты, используемые в технологическом процессе;  (тыс. рублей)</t>
  </si>
  <si>
    <t>е) расходы на оплату труда и отчисления на социальные нужды основного производственного персонала; (тыс. рублей)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</si>
  <si>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кВтч)  тыс. руб</t>
  </si>
  <si>
    <t>ж) расходы на оплату труда и отчисления на социальные нужды административно-управленческого персонала; (тыс. рублей)</t>
  </si>
  <si>
    <t>з) расходы на амортизацию основных производственных средств; (тыс. рублей)</t>
  </si>
  <si>
    <t>и) расходы на аренду имущества, используемого для осуществления регулируемого вида деятельности; (тыс. рублей)</t>
  </si>
  <si>
    <t>к) общепроизводственные расходы, в том числе отнесенные к ним расходы на текущий и капитальный ремонт; (тыс. рублей)</t>
  </si>
  <si>
    <t>л) общехозяйственные расходы, в том числе отнесенные к ним расходы на текущий и капитальный ремонт; (тыс. рублей)</t>
  </si>
  <si>
    <t>1.1 Расходы на текущий ремонт  (тыс. рублей)</t>
  </si>
  <si>
    <t>1.2 Расходы на капитальный ремонт  (тыс. рублей)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</si>
  <si>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  (тыс. рублей)</t>
  </si>
  <si>
    <t>-</t>
  </si>
  <si>
    <t>1.1 Средневзвешенная стоимость 1 кВт.ч (с учетом мощности) руб.</t>
  </si>
  <si>
    <t>1.2 объем приобретения электрической энергии тыс кВт.ч;</t>
  </si>
  <si>
    <t xml:space="preserve"> 1.2 объем приобретения электрической энергии тыс кВт.ч;</t>
  </si>
  <si>
    <t>ТЭЦ ЭНКА 2017г</t>
  </si>
  <si>
    <t>ТЭЦ ЭНКА 2015г</t>
  </si>
  <si>
    <t>ТЭЦ ЭНКА 2016г</t>
  </si>
  <si>
    <t>ТЭЦ ЭНКА 2014г</t>
  </si>
  <si>
    <t>ТЭЦ ЭНКА 2013г</t>
  </si>
  <si>
    <t>выручка от регулируемой деятельности не превышает 80 процентов совокупной выручки за отчетный год АО "РАМО-М"</t>
  </si>
  <si>
    <t>ТЭЦ ЭНКА 2018 г</t>
  </si>
  <si>
    <t>1.1.3 Стоимость транспортировки  (тыс. рублей)</t>
  </si>
  <si>
    <t>ТЭЦ ЭНКА 2019 г</t>
  </si>
  <si>
    <t>ТЭЦ Дзержинского, 96   за  2020 г</t>
  </si>
  <si>
    <t>ТЭЦ Дзержинского, 96   за  2021 г</t>
  </si>
  <si>
    <t>ТЭЦ Дзержинского, 96   за  2022 г</t>
  </si>
  <si>
    <t>ТЭЦ Дзержинского, 96   за 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</si>
</sst>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rgb="FF26282F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color indexed="21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</cellStyleXfs>
  <cellXfs count="103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" fontId="5" fillId="0" borderId="2" xfId="1" applyNumberFormat="1" applyFont="1" applyBorder="1" applyAlignment="1">
      <alignment horizontal="right" vertical="top" wrapText="1"/>
    </xf>
    <xf numFmtId="4" fontId="0" fillId="0" borderId="0" xfId="0" applyNumberFormat="1"/>
    <xf numFmtId="4" fontId="7" fillId="2" borderId="4" xfId="2" applyNumberFormat="1" applyFont="1" applyFill="1" applyBorder="1" applyAlignment="1" applyProtection="1">
      <alignment horizontal="right" vertical="center" wrapText="1"/>
      <protection locked="0"/>
    </xf>
    <xf numFmtId="4" fontId="7" fillId="2" borderId="3" xfId="2" applyNumberFormat="1" applyFont="1" applyFill="1" applyBorder="1" applyAlignment="1" applyProtection="1">
      <alignment horizontal="right" vertical="center" wrapText="1"/>
    </xf>
    <xf numFmtId="4" fontId="7" fillId="2" borderId="5" xfId="2" applyNumberFormat="1" applyFont="1" applyFill="1" applyBorder="1" applyAlignment="1" applyProtection="1">
      <alignment horizontal="right" vertical="center" wrapText="1"/>
      <protection locked="0"/>
    </xf>
    <xf numFmtId="0" fontId="8" fillId="2" borderId="1" xfId="2" applyFont="1" applyFill="1" applyBorder="1" applyAlignment="1" applyProtection="1">
      <alignment horizontal="left" vertical="center" wrapText="1" indent="3"/>
    </xf>
    <xf numFmtId="4" fontId="5" fillId="0" borderId="1" xfId="1" applyNumberFormat="1" applyFont="1" applyBorder="1" applyAlignment="1">
      <alignment vertical="top" wrapText="1"/>
    </xf>
    <xf numFmtId="4" fontId="5" fillId="2" borderId="1" xfId="1" applyNumberFormat="1" applyFont="1" applyFill="1" applyBorder="1" applyAlignment="1">
      <alignment vertical="top" wrapText="1"/>
    </xf>
    <xf numFmtId="0" fontId="0" fillId="0" borderId="1" xfId="0" applyBorder="1"/>
    <xf numFmtId="4" fontId="9" fillId="0" borderId="1" xfId="1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" fontId="11" fillId="0" borderId="1" xfId="1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7" fillId="0" borderId="1" xfId="2" applyFont="1" applyFill="1" applyBorder="1" applyAlignment="1" applyProtection="1">
      <alignment horizontal="left" vertical="center" wrapText="1" indent="2"/>
    </xf>
    <xf numFmtId="0" fontId="7" fillId="0" borderId="0" xfId="2" applyFont="1" applyFill="1" applyBorder="1" applyAlignment="1" applyProtection="1">
      <alignment horizontal="left" vertical="center" wrapText="1" inden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center" wrapText="1" indent="2"/>
    </xf>
    <xf numFmtId="0" fontId="0" fillId="0" borderId="0" xfId="0" applyBorder="1"/>
    <xf numFmtId="4" fontId="7" fillId="2" borderId="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11" fillId="0" borderId="1" xfId="1" applyNumberFormat="1" applyFont="1" applyBorder="1" applyAlignment="1">
      <alignment horizontal="right" vertical="top" wrapText="1"/>
    </xf>
    <xf numFmtId="4" fontId="9" fillId="2" borderId="1" xfId="1" applyNumberFormat="1" applyFont="1" applyFill="1" applyBorder="1" applyAlignment="1">
      <alignment vertical="top" wrapText="1"/>
    </xf>
    <xf numFmtId="4" fontId="11" fillId="0" borderId="2" xfId="3" applyNumberFormat="1" applyFont="1" applyBorder="1" applyAlignment="1">
      <alignment horizontal="right" vertical="top" wrapText="1"/>
    </xf>
    <xf numFmtId="4" fontId="7" fillId="0" borderId="3" xfId="2" applyNumberFormat="1" applyFont="1" applyFill="1" applyBorder="1" applyAlignment="1" applyProtection="1">
      <alignment horizontal="right" vertical="center" wrapText="1"/>
    </xf>
    <xf numFmtId="0" fontId="0" fillId="2" borderId="0" xfId="2" applyNumberFormat="1" applyFont="1" applyFill="1" applyBorder="1" applyAlignment="1" applyProtection="1">
      <alignment horizontal="left" vertical="center" wrapText="1" indent="2"/>
      <protection locked="0"/>
    </xf>
    <xf numFmtId="0" fontId="0" fillId="2" borderId="0" xfId="2" applyFont="1" applyFill="1" applyBorder="1" applyAlignment="1" applyProtection="1">
      <alignment horizontal="center" vertical="center" wrapText="1"/>
    </xf>
    <xf numFmtId="4" fontId="7" fillId="2" borderId="0" xfId="2" applyNumberFormat="1" applyFont="1" applyFill="1" applyBorder="1" applyAlignment="1" applyProtection="1">
      <alignment horizontal="right" vertical="center" wrapText="1"/>
    </xf>
    <xf numFmtId="0" fontId="0" fillId="2" borderId="0" xfId="2" applyFont="1" applyFill="1" applyBorder="1" applyAlignment="1" applyProtection="1">
      <alignment horizontal="left" vertical="center" wrapText="1" indent="3"/>
    </xf>
    <xf numFmtId="49" fontId="0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0" fillId="2" borderId="0" xfId="0" applyFill="1"/>
    <xf numFmtId="4" fontId="9" fillId="0" borderId="1" xfId="1" applyNumberFormat="1" applyFont="1" applyBorder="1" applyAlignment="1">
      <alignment horizontal="right" vertical="center" wrapText="1"/>
    </xf>
    <xf numFmtId="4" fontId="9" fillId="2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right" vertical="top" wrapText="1"/>
    </xf>
    <xf numFmtId="4" fontId="7" fillId="0" borderId="1" xfId="2" applyNumberFormat="1" applyFont="1" applyFill="1" applyBorder="1" applyAlignment="1" applyProtection="1">
      <alignment horizontal="right" vertical="center" wrapText="1"/>
    </xf>
    <xf numFmtId="4" fontId="7" fillId="2" borderId="1" xfId="2" applyNumberFormat="1" applyFont="1" applyFill="1" applyBorder="1" applyAlignment="1" applyProtection="1">
      <alignment horizontal="right" vertical="center" wrapText="1"/>
      <protection locked="0"/>
    </xf>
    <xf numFmtId="4" fontId="13" fillId="3" borderId="2" xfId="4" applyNumberFormat="1" applyFont="1" applyFill="1" applyBorder="1" applyAlignment="1">
      <alignment horizontal="right" vertical="top" wrapText="1"/>
    </xf>
    <xf numFmtId="4" fontId="14" fillId="0" borderId="2" xfId="4" applyNumberFormat="1" applyFont="1" applyBorder="1" applyAlignment="1">
      <alignment horizontal="right" vertical="top" wrapText="1"/>
    </xf>
    <xf numFmtId="0" fontId="0" fillId="2" borderId="0" xfId="2" applyFont="1" applyFill="1" applyBorder="1" applyAlignment="1" applyProtection="1">
      <alignment horizontal="right" vertical="center" wrapText="1" indent="3"/>
    </xf>
    <xf numFmtId="0" fontId="0" fillId="2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13" fillId="3" borderId="2" xfId="4" applyNumberFormat="1" applyFont="1" applyFill="1" applyBorder="1" applyAlignment="1">
      <alignment horizontal="left" vertical="top" wrapText="1" indent="2"/>
    </xf>
    <xf numFmtId="0" fontId="13" fillId="3" borderId="2" xfId="4" applyNumberFormat="1" applyFont="1" applyFill="1" applyBorder="1" applyAlignment="1">
      <alignment horizontal="right" vertical="top" wrapText="1"/>
    </xf>
    <xf numFmtId="0" fontId="14" fillId="3" borderId="2" xfId="4" applyNumberFormat="1" applyFont="1" applyFill="1" applyBorder="1" applyAlignment="1">
      <alignment horizontal="left" vertical="top" wrapText="1" indent="3"/>
    </xf>
    <xf numFmtId="0" fontId="14" fillId="3" borderId="2" xfId="4" applyNumberFormat="1" applyFont="1" applyFill="1" applyBorder="1" applyAlignment="1">
      <alignment horizontal="right" vertical="top" wrapText="1"/>
    </xf>
    <xf numFmtId="4" fontId="14" fillId="3" borderId="2" xfId="4" applyNumberFormat="1" applyFont="1" applyFill="1" applyBorder="1" applyAlignment="1">
      <alignment horizontal="right" vertical="top" wrapText="1"/>
    </xf>
    <xf numFmtId="0" fontId="14" fillId="0" borderId="2" xfId="4" applyNumberFormat="1" applyFont="1" applyBorder="1" applyAlignment="1">
      <alignment horizontal="left" vertical="top" wrapText="1" indent="4"/>
    </xf>
    <xf numFmtId="0" fontId="14" fillId="0" borderId="2" xfId="4" applyNumberFormat="1" applyFont="1" applyBorder="1" applyAlignment="1">
      <alignment horizontal="right" vertical="top" wrapText="1"/>
    </xf>
    <xf numFmtId="4" fontId="5" fillId="0" borderId="1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center" wrapText="1"/>
    </xf>
    <xf numFmtId="4" fontId="11" fillId="0" borderId="0" xfId="3" applyNumberFormat="1" applyFont="1" applyBorder="1" applyAlignment="1">
      <alignment horizontal="right" vertical="top" wrapText="1"/>
    </xf>
    <xf numFmtId="4" fontId="5" fillId="0" borderId="0" xfId="1" applyNumberFormat="1" applyFont="1" applyBorder="1" applyAlignment="1">
      <alignment horizontal="right" vertical="top" wrapText="1"/>
    </xf>
    <xf numFmtId="4" fontId="0" fillId="0" borderId="0" xfId="0" applyNumberFormat="1" applyBorder="1"/>
    <xf numFmtId="4" fontId="11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/>
    <xf numFmtId="4" fontId="9" fillId="0" borderId="1" xfId="1" applyNumberFormat="1" applyFont="1" applyFill="1" applyBorder="1" applyAlignment="1">
      <alignment vertical="top" wrapText="1"/>
    </xf>
    <xf numFmtId="4" fontId="5" fillId="0" borderId="1" xfId="1" applyNumberFormat="1" applyFont="1" applyFill="1" applyBorder="1" applyAlignment="1">
      <alignment vertical="top" wrapText="1"/>
    </xf>
    <xf numFmtId="4" fontId="9" fillId="0" borderId="1" xfId="1" applyNumberFormat="1" applyFont="1" applyFill="1" applyBorder="1" applyAlignment="1">
      <alignment horizontal="right" vertical="top" wrapText="1"/>
    </xf>
    <xf numFmtId="4" fontId="11" fillId="0" borderId="1" xfId="1" applyNumberFormat="1" applyFont="1" applyFill="1" applyBorder="1" applyAlignment="1">
      <alignment vertical="top" wrapText="1"/>
    </xf>
    <xf numFmtId="4" fontId="5" fillId="0" borderId="1" xfId="1" applyNumberFormat="1" applyFont="1" applyFill="1" applyBorder="1" applyAlignment="1">
      <alignment horizontal="left" vertical="top" wrapText="1"/>
    </xf>
    <xf numFmtId="0" fontId="0" fillId="0" borderId="1" xfId="0" applyFill="1" applyBorder="1"/>
    <xf numFmtId="4" fontId="11" fillId="0" borderId="1" xfId="1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4" fontId="15" fillId="0" borderId="2" xfId="5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2" fontId="0" fillId="0" borderId="1" xfId="0" applyNumberFormat="1" applyFill="1" applyBorder="1"/>
    <xf numFmtId="3" fontId="0" fillId="0" borderId="0" xfId="0" applyNumberFormat="1"/>
    <xf numFmtId="0" fontId="2" fillId="0" borderId="0" xfId="0" applyFont="1" applyFill="1" applyAlignment="1">
      <alignment horizontal="justify"/>
    </xf>
    <xf numFmtId="0" fontId="10" fillId="0" borderId="1" xfId="0" applyFont="1" applyFill="1" applyBorder="1" applyAlignment="1">
      <alignment vertical="top" wrapText="1"/>
    </xf>
    <xf numFmtId="0" fontId="8" fillId="0" borderId="1" xfId="2" applyFont="1" applyFill="1" applyBorder="1" applyAlignment="1" applyProtection="1">
      <alignment horizontal="left" vertical="center" wrapText="1" indent="3"/>
    </xf>
    <xf numFmtId="4" fontId="7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/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wrapText="1"/>
    </xf>
    <xf numFmtId="165" fontId="5" fillId="0" borderId="1" xfId="1" applyNumberFormat="1" applyFont="1" applyFill="1" applyBorder="1" applyAlignment="1">
      <alignment vertical="top" wrapText="1"/>
    </xf>
    <xf numFmtId="166" fontId="9" fillId="0" borderId="1" xfId="1" applyNumberFormat="1" applyFont="1" applyFill="1" applyBorder="1" applyAlignment="1">
      <alignment horizontal="right" vertical="top" wrapText="1"/>
    </xf>
    <xf numFmtId="166" fontId="5" fillId="0" borderId="1" xfId="1" applyNumberFormat="1" applyFont="1" applyFill="1" applyBorder="1" applyAlignment="1">
      <alignment horizontal="left" vertical="top" wrapText="1"/>
    </xf>
    <xf numFmtId="166" fontId="11" fillId="0" borderId="1" xfId="1" applyNumberFormat="1" applyFont="1" applyFill="1" applyBorder="1" applyAlignment="1">
      <alignment horizontal="right" vertical="top" wrapText="1"/>
    </xf>
    <xf numFmtId="3" fontId="5" fillId="0" borderId="1" xfId="1" applyNumberFormat="1" applyFont="1" applyFill="1" applyBorder="1" applyAlignment="1">
      <alignment vertical="top" wrapText="1"/>
    </xf>
    <xf numFmtId="3" fontId="0" fillId="0" borderId="1" xfId="0" applyNumberFormat="1" applyFill="1" applyBorder="1"/>
    <xf numFmtId="3" fontId="9" fillId="0" borderId="1" xfId="1" applyNumberFormat="1" applyFont="1" applyFill="1" applyBorder="1" applyAlignment="1">
      <alignment vertical="top" wrapText="1"/>
    </xf>
    <xf numFmtId="3" fontId="11" fillId="0" borderId="1" xfId="1" applyNumberFormat="1" applyFont="1" applyFill="1" applyBorder="1" applyAlignment="1">
      <alignment vertical="top" wrapText="1"/>
    </xf>
    <xf numFmtId="4" fontId="17" fillId="0" borderId="2" xfId="7" applyNumberFormat="1" applyFont="1" applyBorder="1" applyAlignment="1">
      <alignment horizontal="right" vertical="top" wrapText="1"/>
    </xf>
    <xf numFmtId="4" fontId="5" fillId="0" borderId="2" xfId="7" applyNumberFormat="1" applyFont="1" applyBorder="1" applyAlignment="1">
      <alignment horizontal="right" vertical="top" wrapText="1"/>
    </xf>
    <xf numFmtId="4" fontId="0" fillId="0" borderId="0" xfId="0" applyNumberForma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8">
    <cellStyle name="Обычный" xfId="0" builtinId="0"/>
    <cellStyle name="Обычный 4" xfId="6"/>
    <cellStyle name="Обычный_2013" xfId="4"/>
    <cellStyle name="Обычный_2016" xfId="3"/>
    <cellStyle name="Обычный_2017" xfId="1"/>
    <cellStyle name="Обычный_2019" xfId="5"/>
    <cellStyle name="Обычный_2022" xfId="7"/>
    <cellStyle name="Обычный_Мониторинг инвестици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vneva\Downloads\JKH.OPEN.INFO.BALANCE.WARM\2017%20JKH.OPEN.INFO.BALAN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M2" t="str">
            <v>газ природный по регулируемой цене</v>
          </cell>
        </row>
        <row r="3">
          <cell r="M3" t="str">
            <v>газ природный по нерегулируемой цене</v>
          </cell>
        </row>
        <row r="4">
          <cell r="M4" t="str">
            <v>газ сжиженный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49"/>
  <sheetViews>
    <sheetView tabSelected="1" workbookViewId="0">
      <selection activeCell="G17" sqref="G17"/>
    </sheetView>
  </sheetViews>
  <sheetFormatPr defaultRowHeight="15" x14ac:dyDescent="0.25"/>
  <cols>
    <col min="1" max="1" width="77.5703125" style="67" customWidth="1"/>
    <col min="2" max="2" width="22" style="67" customWidth="1"/>
    <col min="3" max="16384" width="9.140625" style="67"/>
  </cols>
  <sheetData>
    <row r="2" spans="1:2" ht="15.75" x14ac:dyDescent="0.25">
      <c r="A2" s="101" t="s">
        <v>0</v>
      </c>
      <c r="B2" s="101"/>
    </row>
    <row r="3" spans="1:2" ht="15.75" x14ac:dyDescent="0.25">
      <c r="A3" s="100"/>
      <c r="B3" s="100"/>
    </row>
    <row r="4" spans="1:2" ht="15.75" x14ac:dyDescent="0.25">
      <c r="A4" s="101" t="s">
        <v>57</v>
      </c>
      <c r="B4" s="101"/>
    </row>
    <row r="5" spans="1:2" ht="15.75" x14ac:dyDescent="0.25">
      <c r="A5" s="80"/>
    </row>
    <row r="6" spans="1:2" ht="31.5" x14ac:dyDescent="0.25">
      <c r="A6" s="81" t="s">
        <v>1</v>
      </c>
      <c r="B6" s="68">
        <v>104461.51</v>
      </c>
    </row>
    <row r="7" spans="1:2" ht="31.5" x14ac:dyDescent="0.25">
      <c r="A7" s="81" t="s">
        <v>2</v>
      </c>
      <c r="B7" s="68">
        <f>B9+B17+B21+B22+B23+B24+B25+B26+B29+B32+B33</f>
        <v>132634.87534</v>
      </c>
    </row>
    <row r="8" spans="1:2" ht="31.5" x14ac:dyDescent="0.25">
      <c r="A8" s="81" t="s">
        <v>3</v>
      </c>
      <c r="B8" s="68">
        <v>0</v>
      </c>
    </row>
    <row r="9" spans="1:2" ht="47.25" x14ac:dyDescent="0.25">
      <c r="A9" s="81" t="s">
        <v>4</v>
      </c>
      <c r="B9" s="68">
        <f>B10+B14</f>
        <v>54134.46501</v>
      </c>
    </row>
    <row r="10" spans="1:2" x14ac:dyDescent="0.25">
      <c r="A10" s="82" t="s">
        <v>23</v>
      </c>
      <c r="B10" s="69">
        <f>B11*B12+B13</f>
        <v>54134.46501</v>
      </c>
    </row>
    <row r="11" spans="1:2" x14ac:dyDescent="0.25">
      <c r="A11" s="82" t="s">
        <v>24</v>
      </c>
      <c r="B11" s="89">
        <v>7926.3450000000003</v>
      </c>
    </row>
    <row r="12" spans="1:2" x14ac:dyDescent="0.25">
      <c r="A12" s="82" t="s">
        <v>25</v>
      </c>
      <c r="B12" s="69">
        <f>50210.44867/B11</f>
        <v>6.3346282138867283</v>
      </c>
    </row>
    <row r="13" spans="1:2" x14ac:dyDescent="0.25">
      <c r="A13" s="82" t="s">
        <v>52</v>
      </c>
      <c r="B13" s="69">
        <v>3924.0163400000001</v>
      </c>
    </row>
    <row r="14" spans="1:2" x14ac:dyDescent="0.25">
      <c r="A14" s="82" t="s">
        <v>27</v>
      </c>
      <c r="B14" s="94">
        <v>0</v>
      </c>
    </row>
    <row r="15" spans="1:2" x14ac:dyDescent="0.25">
      <c r="A15" s="82" t="s">
        <v>28</v>
      </c>
      <c r="B15" s="93">
        <v>0</v>
      </c>
    </row>
    <row r="16" spans="1:2" x14ac:dyDescent="0.25">
      <c r="A16" s="82" t="s">
        <v>29</v>
      </c>
      <c r="B16" s="94">
        <v>0</v>
      </c>
    </row>
    <row r="17" spans="1:2" ht="47.25" x14ac:dyDescent="0.25">
      <c r="A17" s="81" t="s">
        <v>32</v>
      </c>
      <c r="B17" s="68">
        <v>5172.7003299999997</v>
      </c>
    </row>
    <row r="18" spans="1:2" x14ac:dyDescent="0.25">
      <c r="A18" s="82" t="s">
        <v>42</v>
      </c>
      <c r="B18" s="69">
        <f>B17/B19</f>
        <v>3.2847964298868382</v>
      </c>
    </row>
    <row r="19" spans="1:2" x14ac:dyDescent="0.25">
      <c r="A19" s="82" t="s">
        <v>43</v>
      </c>
      <c r="B19" s="69">
        <v>1574.74</v>
      </c>
    </row>
    <row r="20" spans="1:2" ht="31.5" x14ac:dyDescent="0.25">
      <c r="A20" s="81" t="s">
        <v>5</v>
      </c>
      <c r="B20" s="90" t="s">
        <v>41</v>
      </c>
    </row>
    <row r="21" spans="1:2" ht="31.5" x14ac:dyDescent="0.25">
      <c r="A21" s="81" t="s">
        <v>30</v>
      </c>
      <c r="B21" s="68">
        <v>29.375</v>
      </c>
    </row>
    <row r="22" spans="1:2" ht="31.5" x14ac:dyDescent="0.25">
      <c r="A22" s="84" t="s">
        <v>31</v>
      </c>
      <c r="B22" s="68">
        <f>14630.6+4433.89</f>
        <v>19064.490000000002</v>
      </c>
    </row>
    <row r="23" spans="1:2" ht="33" customHeight="1" x14ac:dyDescent="0.25">
      <c r="A23" s="81" t="s">
        <v>33</v>
      </c>
      <c r="B23" s="68">
        <f>15813.06+45.46+4753.99+31.17</f>
        <v>20643.679999999997</v>
      </c>
    </row>
    <row r="24" spans="1:2" ht="31.5" x14ac:dyDescent="0.25">
      <c r="A24" s="81" t="s">
        <v>34</v>
      </c>
      <c r="B24" s="68">
        <v>7978.74</v>
      </c>
    </row>
    <row r="25" spans="1:2" ht="47.25" x14ac:dyDescent="0.25">
      <c r="A25" s="81" t="s">
        <v>35</v>
      </c>
      <c r="B25" s="95">
        <v>0</v>
      </c>
    </row>
    <row r="26" spans="1:2" ht="31.5" x14ac:dyDescent="0.25">
      <c r="A26" s="81" t="s">
        <v>36</v>
      </c>
      <c r="B26" s="68">
        <f>4843.06-B14-B21</f>
        <v>4813.6850000000004</v>
      </c>
    </row>
    <row r="27" spans="1:2" x14ac:dyDescent="0.25">
      <c r="A27" s="19" t="s">
        <v>38</v>
      </c>
      <c r="B27" s="93">
        <v>0</v>
      </c>
    </row>
    <row r="28" spans="1:2" x14ac:dyDescent="0.25">
      <c r="A28" s="19" t="s">
        <v>39</v>
      </c>
      <c r="B28" s="93">
        <v>0</v>
      </c>
    </row>
    <row r="29" spans="1:2" ht="31.5" x14ac:dyDescent="0.25">
      <c r="A29" s="81" t="s">
        <v>37</v>
      </c>
      <c r="B29" s="68">
        <f>26579.86-B23</f>
        <v>5936.1800000000039</v>
      </c>
    </row>
    <row r="30" spans="1:2" x14ac:dyDescent="0.25">
      <c r="A30" s="19" t="s">
        <v>38</v>
      </c>
      <c r="B30" s="69">
        <v>307.51</v>
      </c>
    </row>
    <row r="31" spans="1:2" x14ac:dyDescent="0.25">
      <c r="A31" s="19" t="s">
        <v>39</v>
      </c>
      <c r="B31" s="96">
        <v>0</v>
      </c>
    </row>
    <row r="32" spans="1:2" ht="94.5" x14ac:dyDescent="0.25">
      <c r="A32" s="81" t="s">
        <v>40</v>
      </c>
      <c r="B32" s="68">
        <v>13535.03</v>
      </c>
    </row>
    <row r="33" spans="1:2" ht="47.25" x14ac:dyDescent="0.25">
      <c r="A33" s="81" t="s">
        <v>6</v>
      </c>
      <c r="B33" s="68">
        <v>1326.53</v>
      </c>
    </row>
    <row r="34" spans="1:2" ht="60" x14ac:dyDescent="0.25">
      <c r="A34" s="87" t="s">
        <v>7</v>
      </c>
      <c r="B34" s="93">
        <v>0</v>
      </c>
    </row>
    <row r="35" spans="1:2" ht="45" x14ac:dyDescent="0.25">
      <c r="A35" s="87" t="s">
        <v>8</v>
      </c>
      <c r="B35" s="93">
        <v>0</v>
      </c>
    </row>
    <row r="36" spans="1:2" ht="30" x14ac:dyDescent="0.25">
      <c r="A36" s="87" t="s">
        <v>9</v>
      </c>
      <c r="B36" s="69">
        <v>-8683.65</v>
      </c>
    </row>
    <row r="37" spans="1:2" ht="72" x14ac:dyDescent="0.25">
      <c r="A37" s="87" t="s">
        <v>10</v>
      </c>
      <c r="B37" s="91" t="s">
        <v>50</v>
      </c>
    </row>
    <row r="38" spans="1:2" ht="45" x14ac:dyDescent="0.25">
      <c r="A38" s="87" t="s">
        <v>11</v>
      </c>
      <c r="B38" s="69">
        <v>51.3</v>
      </c>
    </row>
    <row r="39" spans="1:2" ht="30" x14ac:dyDescent="0.25">
      <c r="A39" s="87" t="s">
        <v>12</v>
      </c>
      <c r="B39" s="69">
        <v>44.59</v>
      </c>
    </row>
    <row r="40" spans="1:2" ht="45" x14ac:dyDescent="0.25">
      <c r="A40" s="87" t="s">
        <v>13</v>
      </c>
      <c r="B40" s="89">
        <v>57.884</v>
      </c>
    </row>
    <row r="41" spans="1:2" ht="45" x14ac:dyDescent="0.25">
      <c r="A41" s="87" t="s">
        <v>14</v>
      </c>
      <c r="B41" s="93">
        <v>0</v>
      </c>
    </row>
    <row r="42" spans="1:2" ht="75" x14ac:dyDescent="0.25">
      <c r="A42" s="87" t="s">
        <v>15</v>
      </c>
      <c r="B42" s="89">
        <v>45.597999999999999</v>
      </c>
    </row>
    <row r="43" spans="1:2" ht="45" x14ac:dyDescent="0.25">
      <c r="A43" s="87" t="s">
        <v>16</v>
      </c>
      <c r="B43" s="69">
        <f>2874.9/12*1000000</f>
        <v>239575000.00000003</v>
      </c>
    </row>
    <row r="44" spans="1:2" ht="30" x14ac:dyDescent="0.25">
      <c r="A44" s="87" t="s">
        <v>17</v>
      </c>
      <c r="B44" s="89">
        <v>2.915</v>
      </c>
    </row>
    <row r="45" spans="1:2" ht="30" x14ac:dyDescent="0.25">
      <c r="A45" s="87" t="s">
        <v>18</v>
      </c>
      <c r="B45" s="93">
        <v>27</v>
      </c>
    </row>
    <row r="46" spans="1:2" ht="30" x14ac:dyDescent="0.25">
      <c r="A46" s="87" t="s">
        <v>19</v>
      </c>
      <c r="B46" s="93">
        <v>40</v>
      </c>
    </row>
    <row r="47" spans="1:2" ht="60" x14ac:dyDescent="0.25">
      <c r="A47" s="87" t="s">
        <v>20</v>
      </c>
      <c r="B47" s="89">
        <f>9418.268/(B40-1.516)</f>
        <v>167.08536758444507</v>
      </c>
    </row>
    <row r="48" spans="1:2" ht="60" x14ac:dyDescent="0.25">
      <c r="A48" s="87" t="s">
        <v>22</v>
      </c>
      <c r="B48" s="92">
        <f>B19/B40/1000</f>
        <v>2.7205099854882179E-2</v>
      </c>
    </row>
    <row r="49" spans="1:2" ht="60" x14ac:dyDescent="0.25">
      <c r="A49" s="87" t="s">
        <v>21</v>
      </c>
      <c r="B49" s="92">
        <f>14887/(B40*1000)</f>
        <v>0.25718678736783912</v>
      </c>
    </row>
  </sheetData>
  <mergeCells count="2">
    <mergeCell ref="A2:B2"/>
    <mergeCell ref="A4:B4"/>
  </mergeCells>
  <dataValidations count="1">
    <dataValidation type="decimal" allowBlank="1" showErrorMessage="1" errorTitle="Ошибка" error="Допускается ввод только неотрицательных чисел!" sqref="B12:B13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49"/>
  <sheetViews>
    <sheetView topLeftCell="A34" workbookViewId="0">
      <selection activeCell="B43" sqref="B43"/>
    </sheetView>
  </sheetViews>
  <sheetFormatPr defaultRowHeight="15" x14ac:dyDescent="0.25"/>
  <cols>
    <col min="1" max="1" width="77.5703125" customWidth="1"/>
    <col min="2" max="2" width="23.7109375" customWidth="1"/>
    <col min="3" max="3" width="16.85546875" customWidth="1"/>
    <col min="4" max="4" width="20.140625" customWidth="1"/>
    <col min="5" max="5" width="60.5703125" customWidth="1"/>
    <col min="6" max="6" width="22" customWidth="1"/>
  </cols>
  <sheetData>
    <row r="2" spans="1:7" ht="15.75" x14ac:dyDescent="0.25">
      <c r="A2" s="102" t="s">
        <v>0</v>
      </c>
      <c r="B2" s="102"/>
    </row>
    <row r="3" spans="1:7" ht="15.75" x14ac:dyDescent="0.25">
      <c r="A3" s="4"/>
      <c r="B3" s="4"/>
    </row>
    <row r="4" spans="1:7" ht="15.75" x14ac:dyDescent="0.25">
      <c r="A4" s="102" t="s">
        <v>48</v>
      </c>
      <c r="B4" s="102"/>
      <c r="D4" s="23"/>
    </row>
    <row r="5" spans="1:7" ht="15.75" x14ac:dyDescent="0.25">
      <c r="A5" s="1"/>
      <c r="D5" s="23"/>
    </row>
    <row r="6" spans="1:7" ht="31.5" x14ac:dyDescent="0.25">
      <c r="A6" s="16" t="s">
        <v>1</v>
      </c>
      <c r="B6" s="37">
        <v>63057.52</v>
      </c>
      <c r="D6" s="60"/>
    </row>
    <row r="7" spans="1:7" ht="31.5" x14ac:dyDescent="0.25">
      <c r="A7" s="16" t="s">
        <v>2</v>
      </c>
      <c r="B7" s="38">
        <f>B9+B17+B21+B22+B23+B24+B25+B26+B29+B32+B33</f>
        <v>99628.468155440001</v>
      </c>
      <c r="D7" s="61"/>
      <c r="E7" s="25"/>
    </row>
    <row r="8" spans="1:7" ht="31.5" x14ac:dyDescent="0.25">
      <c r="A8" s="16" t="s">
        <v>3</v>
      </c>
      <c r="B8" s="37">
        <v>0</v>
      </c>
      <c r="D8" s="62"/>
      <c r="E8" s="30"/>
      <c r="F8" s="31"/>
      <c r="G8" s="32"/>
    </row>
    <row r="9" spans="1:7" ht="47.25" x14ac:dyDescent="0.25">
      <c r="A9" s="16" t="s">
        <v>4</v>
      </c>
      <c r="B9" s="37">
        <f>B10+B14</f>
        <v>34827.63815544</v>
      </c>
      <c r="D9" s="32"/>
      <c r="E9" s="33"/>
      <c r="F9" s="34"/>
      <c r="G9" s="24"/>
    </row>
    <row r="10" spans="1:7" x14ac:dyDescent="0.25">
      <c r="A10" s="11" t="s">
        <v>23</v>
      </c>
      <c r="B10" s="44">
        <f>B11*B12+B13</f>
        <v>34818.934099240003</v>
      </c>
      <c r="D10" s="32"/>
      <c r="E10" s="33"/>
      <c r="F10" s="31"/>
      <c r="G10" s="24"/>
    </row>
    <row r="11" spans="1:7" x14ac:dyDescent="0.25">
      <c r="A11" s="11" t="s">
        <v>24</v>
      </c>
      <c r="B11" s="39">
        <v>7460.8590000000004</v>
      </c>
      <c r="D11" s="24"/>
      <c r="E11" s="33"/>
      <c r="F11" s="31"/>
      <c r="G11" s="24"/>
    </row>
    <row r="12" spans="1:7" x14ac:dyDescent="0.25">
      <c r="A12" s="11" t="s">
        <v>25</v>
      </c>
      <c r="B12" s="39">
        <v>4.4103599999999998</v>
      </c>
      <c r="C12" s="10"/>
      <c r="D12" s="24"/>
      <c r="E12" s="35"/>
      <c r="F12" s="35"/>
      <c r="G12" s="35"/>
    </row>
    <row r="13" spans="1:7" x14ac:dyDescent="0.25">
      <c r="A13" s="11" t="s">
        <v>26</v>
      </c>
      <c r="B13" s="39">
        <v>1913.86</v>
      </c>
      <c r="C13" s="10"/>
      <c r="D13" s="24"/>
    </row>
    <row r="14" spans="1:7" x14ac:dyDescent="0.25">
      <c r="A14" s="11" t="s">
        <v>27</v>
      </c>
      <c r="B14" s="40">
        <f>B15*B16</f>
        <v>8.7040562000000001</v>
      </c>
      <c r="D14" s="32"/>
    </row>
    <row r="15" spans="1:7" x14ac:dyDescent="0.25">
      <c r="A15" s="11" t="s">
        <v>28</v>
      </c>
      <c r="B15" s="40">
        <v>0.36049999999999999</v>
      </c>
      <c r="D15" s="24"/>
    </row>
    <row r="16" spans="1:7" x14ac:dyDescent="0.25">
      <c r="A16" s="11" t="s">
        <v>29</v>
      </c>
      <c r="B16" s="40">
        <v>24.144400000000001</v>
      </c>
      <c r="D16" s="24"/>
    </row>
    <row r="17" spans="1:7" ht="47.25" x14ac:dyDescent="0.25">
      <c r="A17" s="16" t="s">
        <v>32</v>
      </c>
      <c r="B17" s="37">
        <f>B18*B19</f>
        <v>2414.61</v>
      </c>
      <c r="D17" s="24"/>
    </row>
    <row r="18" spans="1:7" x14ac:dyDescent="0.25">
      <c r="A18" s="11" t="s">
        <v>42</v>
      </c>
      <c r="B18" s="39">
        <v>2.5765624066312114</v>
      </c>
      <c r="D18" s="23"/>
    </row>
    <row r="19" spans="1:7" x14ac:dyDescent="0.25">
      <c r="A19" s="11" t="s">
        <v>44</v>
      </c>
      <c r="B19" s="39">
        <v>937.14400000000001</v>
      </c>
    </row>
    <row r="20" spans="1:7" ht="31.5" x14ac:dyDescent="0.25">
      <c r="A20" s="16" t="s">
        <v>5</v>
      </c>
      <c r="B20" s="37" t="s">
        <v>41</v>
      </c>
    </row>
    <row r="21" spans="1:7" ht="31.5" x14ac:dyDescent="0.25">
      <c r="A21" s="16" t="s">
        <v>30</v>
      </c>
      <c r="B21" s="37">
        <v>6.62</v>
      </c>
    </row>
    <row r="22" spans="1:7" ht="31.5" x14ac:dyDescent="0.25">
      <c r="A22" s="18" t="s">
        <v>31</v>
      </c>
      <c r="B22" s="37">
        <f>7159.17+2152.66</f>
        <v>9311.83</v>
      </c>
    </row>
    <row r="23" spans="1:7" ht="36" customHeight="1" x14ac:dyDescent="0.25">
      <c r="A23" s="16" t="s">
        <v>33</v>
      </c>
      <c r="B23" s="37">
        <f>9429.08+2538.4</f>
        <v>11967.48</v>
      </c>
    </row>
    <row r="24" spans="1:7" ht="31.5" x14ac:dyDescent="0.25">
      <c r="A24" s="16" t="s">
        <v>34</v>
      </c>
      <c r="B24" s="37">
        <v>8376.26</v>
      </c>
    </row>
    <row r="25" spans="1:7" ht="37.5" customHeight="1" x14ac:dyDescent="0.25">
      <c r="A25" s="16" t="s">
        <v>35</v>
      </c>
      <c r="B25" s="37">
        <v>18777.419999999998</v>
      </c>
    </row>
    <row r="26" spans="1:7" ht="31.5" x14ac:dyDescent="0.25">
      <c r="A26" s="16" t="s">
        <v>36</v>
      </c>
      <c r="B26" s="37">
        <v>876.92</v>
      </c>
      <c r="D26" s="8"/>
      <c r="E26" s="20"/>
      <c r="F26" s="21"/>
      <c r="G26" s="24"/>
    </row>
    <row r="27" spans="1:7" x14ac:dyDescent="0.25">
      <c r="A27" s="19" t="s">
        <v>38</v>
      </c>
      <c r="B27" s="39">
        <v>133.9</v>
      </c>
      <c r="E27" s="22"/>
      <c r="F27" s="21"/>
      <c r="G27" s="24"/>
    </row>
    <row r="28" spans="1:7" x14ac:dyDescent="0.25">
      <c r="A28" s="19" t="s">
        <v>39</v>
      </c>
      <c r="B28" s="39">
        <v>0</v>
      </c>
      <c r="E28" s="22"/>
      <c r="F28" s="21"/>
      <c r="G28" s="24"/>
    </row>
    <row r="29" spans="1:7" ht="31.5" x14ac:dyDescent="0.25">
      <c r="A29" s="16" t="s">
        <v>37</v>
      </c>
      <c r="B29" s="37">
        <v>3559.57</v>
      </c>
      <c r="E29" s="23"/>
      <c r="F29" s="23"/>
      <c r="G29" s="23"/>
    </row>
    <row r="30" spans="1:7" x14ac:dyDescent="0.25">
      <c r="A30" s="19" t="s">
        <v>38</v>
      </c>
      <c r="B30" s="41">
        <v>144.22999999999999</v>
      </c>
      <c r="E30" s="23"/>
      <c r="F30" s="23"/>
      <c r="G30" s="23"/>
    </row>
    <row r="31" spans="1:7" x14ac:dyDescent="0.25">
      <c r="A31" s="19" t="s">
        <v>39</v>
      </c>
      <c r="B31" s="41">
        <v>0</v>
      </c>
      <c r="E31" s="23"/>
      <c r="F31" s="23"/>
      <c r="G31" s="23"/>
    </row>
    <row r="32" spans="1:7" ht="94.5" x14ac:dyDescent="0.25">
      <c r="A32" s="16" t="s">
        <v>40</v>
      </c>
      <c r="B32" s="37">
        <v>9510.1200000000008</v>
      </c>
    </row>
    <row r="33" spans="1:2" ht="47.25" x14ac:dyDescent="0.25">
      <c r="A33" s="16" t="s">
        <v>6</v>
      </c>
      <c r="B33" s="37">
        <v>0</v>
      </c>
    </row>
    <row r="34" spans="1:2" ht="60" x14ac:dyDescent="0.25">
      <c r="A34" s="2" t="s">
        <v>7</v>
      </c>
      <c r="B34" s="39">
        <v>0</v>
      </c>
    </row>
    <row r="35" spans="1:2" ht="45" x14ac:dyDescent="0.25">
      <c r="A35" s="2" t="s">
        <v>8</v>
      </c>
      <c r="B35" s="63">
        <v>6664.23</v>
      </c>
    </row>
    <row r="36" spans="1:2" ht="30" x14ac:dyDescent="0.25">
      <c r="A36" s="2" t="s">
        <v>9</v>
      </c>
      <c r="B36" s="39">
        <v>-20163.07</v>
      </c>
    </row>
    <row r="37" spans="1:2" ht="60.75" x14ac:dyDescent="0.25">
      <c r="A37" s="5" t="s">
        <v>10</v>
      </c>
      <c r="B37" s="58" t="s">
        <v>50</v>
      </c>
    </row>
    <row r="38" spans="1:2" ht="45" x14ac:dyDescent="0.25">
      <c r="A38" s="2" t="s">
        <v>11</v>
      </c>
      <c r="B38" s="39">
        <v>54.44</v>
      </c>
    </row>
    <row r="39" spans="1:2" ht="30" x14ac:dyDescent="0.25">
      <c r="A39" s="2" t="s">
        <v>12</v>
      </c>
      <c r="B39" s="42">
        <v>36.97</v>
      </c>
    </row>
    <row r="40" spans="1:2" ht="45" x14ac:dyDescent="0.25">
      <c r="A40" s="2" t="s">
        <v>13</v>
      </c>
      <c r="B40" s="39">
        <v>50.766100000000002</v>
      </c>
    </row>
    <row r="41" spans="1:2" ht="45" x14ac:dyDescent="0.25">
      <c r="A41" s="2" t="s">
        <v>14</v>
      </c>
      <c r="B41" s="39">
        <v>0</v>
      </c>
    </row>
    <row r="42" spans="1:2" ht="75" x14ac:dyDescent="0.25">
      <c r="A42" s="2" t="s">
        <v>15</v>
      </c>
      <c r="B42" s="39">
        <v>37.222000000000001</v>
      </c>
    </row>
    <row r="43" spans="1:2" ht="45" x14ac:dyDescent="0.25">
      <c r="A43" s="2" t="s">
        <v>16</v>
      </c>
      <c r="B43" s="39">
        <v>192950000</v>
      </c>
    </row>
    <row r="44" spans="1:2" ht="30" x14ac:dyDescent="0.25">
      <c r="A44" s="2" t="s">
        <v>17</v>
      </c>
      <c r="B44" s="39">
        <v>2.66</v>
      </c>
    </row>
    <row r="45" spans="1:2" ht="30" x14ac:dyDescent="0.25">
      <c r="A45" s="2" t="s">
        <v>18</v>
      </c>
      <c r="B45" s="39">
        <v>22</v>
      </c>
    </row>
    <row r="46" spans="1:2" ht="30" x14ac:dyDescent="0.25">
      <c r="A46" s="2" t="s">
        <v>19</v>
      </c>
      <c r="B46" s="39">
        <v>40</v>
      </c>
    </row>
    <row r="47" spans="1:2" ht="60" x14ac:dyDescent="0.25">
      <c r="A47" s="2" t="s">
        <v>20</v>
      </c>
      <c r="B47" s="39">
        <v>175.34</v>
      </c>
    </row>
    <row r="48" spans="1:2" ht="60" x14ac:dyDescent="0.25">
      <c r="A48" s="2" t="s">
        <v>22</v>
      </c>
      <c r="B48" s="41">
        <v>1.8460000000000001E-2</v>
      </c>
    </row>
    <row r="49" spans="1:2" ht="60" x14ac:dyDescent="0.25">
      <c r="A49" s="2" t="s">
        <v>21</v>
      </c>
      <c r="B49" s="41">
        <v>0.18290000000000001</v>
      </c>
    </row>
  </sheetData>
  <mergeCells count="2">
    <mergeCell ref="A2:B2"/>
    <mergeCell ref="A4:B4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8">
      <formula1>kind_of_fuels</formula1>
    </dataValidation>
    <dataValidation type="decimal" allowBlank="1" showErrorMessage="1" errorTitle="Ошибка" error="Допускается ввод только неотрицательных чисел!" sqref="B12:C13 G26:G28 G9:G11 D11:D13 D15:D17 B15:B16 D26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49"/>
  <sheetViews>
    <sheetView topLeftCell="A35" zoomScaleNormal="100" workbookViewId="0">
      <selection activeCell="B43" sqref="B43"/>
    </sheetView>
  </sheetViews>
  <sheetFormatPr defaultRowHeight="15" x14ac:dyDescent="0.25"/>
  <cols>
    <col min="1" max="1" width="77.5703125" customWidth="1"/>
    <col min="2" max="2" width="23.7109375" customWidth="1"/>
    <col min="4" max="4" width="22.140625" customWidth="1"/>
    <col min="5" max="5" width="22" customWidth="1"/>
    <col min="10" max="10" width="18" customWidth="1"/>
  </cols>
  <sheetData>
    <row r="2" spans="1:11" ht="33" customHeight="1" x14ac:dyDescent="0.25">
      <c r="A2" s="102" t="s">
        <v>0</v>
      </c>
      <c r="B2" s="102"/>
    </row>
    <row r="3" spans="1:11" ht="15.75" x14ac:dyDescent="0.25">
      <c r="A3" s="4"/>
      <c r="B3" s="4"/>
    </row>
    <row r="4" spans="1:11" ht="15.75" x14ac:dyDescent="0.25">
      <c r="A4" s="102" t="s">
        <v>49</v>
      </c>
      <c r="B4" s="102"/>
    </row>
    <row r="5" spans="1:11" ht="15.75" x14ac:dyDescent="0.25">
      <c r="A5" s="1"/>
    </row>
    <row r="6" spans="1:11" ht="31.5" x14ac:dyDescent="0.25">
      <c r="A6" s="16" t="s">
        <v>1</v>
      </c>
      <c r="B6" s="37">
        <v>62505.02</v>
      </c>
      <c r="D6" s="7"/>
    </row>
    <row r="7" spans="1:11" ht="31.5" x14ac:dyDescent="0.25">
      <c r="A7" s="16" t="s">
        <v>2</v>
      </c>
      <c r="B7" s="38">
        <f>B9+B17+B21+B22+B23+B24+B25+B26+B29+B32+B33</f>
        <v>89873.443761199975</v>
      </c>
      <c r="D7" s="25"/>
    </row>
    <row r="8" spans="1:11" ht="31.5" x14ac:dyDescent="0.25">
      <c r="A8" s="16" t="s">
        <v>3</v>
      </c>
      <c r="B8" s="37">
        <v>0</v>
      </c>
      <c r="D8" s="30"/>
      <c r="E8" s="31"/>
      <c r="F8" s="32"/>
    </row>
    <row r="9" spans="1:11" ht="47.25" x14ac:dyDescent="0.25">
      <c r="A9" s="16" t="s">
        <v>4</v>
      </c>
      <c r="B9" s="37">
        <f>B10+B14</f>
        <v>32841.414561199999</v>
      </c>
      <c r="D9" s="33"/>
      <c r="E9" s="34"/>
      <c r="F9" s="24"/>
    </row>
    <row r="10" spans="1:11" x14ac:dyDescent="0.25">
      <c r="A10" s="11" t="s">
        <v>23</v>
      </c>
      <c r="B10" s="44">
        <f>B11*B12+B13</f>
        <v>32768.771796200002</v>
      </c>
      <c r="D10" s="48"/>
      <c r="E10" s="31"/>
      <c r="F10" s="24"/>
      <c r="G10" s="51"/>
      <c r="H10" s="52"/>
      <c r="I10" s="52"/>
      <c r="J10" s="46"/>
      <c r="K10" s="52"/>
    </row>
    <row r="11" spans="1:11" x14ac:dyDescent="0.25">
      <c r="A11" s="11" t="s">
        <v>24</v>
      </c>
      <c r="B11" s="39">
        <v>7507.7479999999996</v>
      </c>
      <c r="D11" s="48"/>
      <c r="E11" s="31"/>
      <c r="F11" s="24"/>
      <c r="G11" s="53"/>
      <c r="H11" s="54"/>
      <c r="I11" s="54"/>
      <c r="J11" s="55"/>
      <c r="K11" s="54"/>
    </row>
    <row r="12" spans="1:11" x14ac:dyDescent="0.25">
      <c r="A12" s="11" t="s">
        <v>25</v>
      </c>
      <c r="B12" s="39">
        <v>4.1206500000000004</v>
      </c>
      <c r="C12" s="10"/>
      <c r="D12" s="49"/>
      <c r="E12" s="35"/>
      <c r="F12" s="35"/>
      <c r="G12" s="56"/>
      <c r="H12" s="57"/>
      <c r="I12" s="57"/>
      <c r="J12" s="47"/>
      <c r="K12" s="57"/>
    </row>
    <row r="13" spans="1:11" x14ac:dyDescent="0.25">
      <c r="A13" s="11" t="s">
        <v>26</v>
      </c>
      <c r="B13" s="39">
        <v>1831.97</v>
      </c>
      <c r="C13" s="10"/>
      <c r="D13" s="50"/>
      <c r="G13" s="56"/>
      <c r="H13" s="57"/>
      <c r="I13" s="57"/>
      <c r="J13" s="47"/>
      <c r="K13" s="57"/>
    </row>
    <row r="14" spans="1:11" x14ac:dyDescent="0.25">
      <c r="A14" s="11" t="s">
        <v>27</v>
      </c>
      <c r="B14" s="40">
        <f>B15*B16</f>
        <v>72.642764999999997</v>
      </c>
    </row>
    <row r="15" spans="1:11" x14ac:dyDescent="0.25">
      <c r="A15" s="11" t="s">
        <v>28</v>
      </c>
      <c r="B15" s="45">
        <v>4.9249999999999998</v>
      </c>
    </row>
    <row r="16" spans="1:11" x14ac:dyDescent="0.25">
      <c r="A16" s="11" t="s">
        <v>29</v>
      </c>
      <c r="B16" s="45">
        <v>14.7498</v>
      </c>
    </row>
    <row r="17" spans="1:6" ht="47.25" x14ac:dyDescent="0.25">
      <c r="A17" s="16" t="s">
        <v>32</v>
      </c>
      <c r="B17" s="37">
        <f>B18*B19</f>
        <v>1880.3812</v>
      </c>
    </row>
    <row r="18" spans="1:6" x14ac:dyDescent="0.25">
      <c r="A18" s="11" t="s">
        <v>42</v>
      </c>
      <c r="B18" s="39">
        <v>2.3883012205809506</v>
      </c>
    </row>
    <row r="19" spans="1:6" x14ac:dyDescent="0.25">
      <c r="A19" s="11" t="s">
        <v>44</v>
      </c>
      <c r="B19" s="39">
        <v>787.33</v>
      </c>
    </row>
    <row r="20" spans="1:6" ht="31.5" x14ac:dyDescent="0.25">
      <c r="A20" s="16" t="s">
        <v>5</v>
      </c>
      <c r="B20" s="37" t="s">
        <v>41</v>
      </c>
    </row>
    <row r="21" spans="1:6" ht="31.5" x14ac:dyDescent="0.25">
      <c r="A21" s="16" t="s">
        <v>30</v>
      </c>
      <c r="B21" s="37">
        <v>437.892</v>
      </c>
    </row>
    <row r="22" spans="1:6" ht="31.5" x14ac:dyDescent="0.25">
      <c r="A22" s="18" t="s">
        <v>31</v>
      </c>
      <c r="B22" s="37">
        <v>8743.49</v>
      </c>
    </row>
    <row r="23" spans="1:6" ht="36" customHeight="1" x14ac:dyDescent="0.25">
      <c r="A23" s="16" t="s">
        <v>33</v>
      </c>
      <c r="B23" s="37">
        <f>8381.641+2283.79</f>
        <v>10665.431</v>
      </c>
    </row>
    <row r="24" spans="1:6" ht="31.5" x14ac:dyDescent="0.25">
      <c r="A24" s="16" t="s">
        <v>34</v>
      </c>
      <c r="B24" s="37">
        <v>4673.8500000000004</v>
      </c>
    </row>
    <row r="25" spans="1:6" ht="37.5" customHeight="1" x14ac:dyDescent="0.25">
      <c r="A25" s="16" t="s">
        <v>35</v>
      </c>
      <c r="B25" s="37">
        <f>4087.5+14527.935</f>
        <v>18615.434999999998</v>
      </c>
    </row>
    <row r="26" spans="1:6" ht="31.5" x14ac:dyDescent="0.25">
      <c r="A26" s="16" t="s">
        <v>36</v>
      </c>
      <c r="B26" s="37">
        <v>143.29</v>
      </c>
      <c r="D26" s="20"/>
      <c r="E26" s="21"/>
      <c r="F26" s="24"/>
    </row>
    <row r="27" spans="1:6" x14ac:dyDescent="0.25">
      <c r="A27" s="19" t="s">
        <v>38</v>
      </c>
      <c r="B27" s="39">
        <v>0</v>
      </c>
      <c r="D27" s="22"/>
      <c r="E27" s="21"/>
      <c r="F27" s="24"/>
    </row>
    <row r="28" spans="1:6" x14ac:dyDescent="0.25">
      <c r="A28" s="19" t="s">
        <v>39</v>
      </c>
      <c r="B28" s="39">
        <v>0</v>
      </c>
      <c r="D28" s="22"/>
      <c r="E28" s="21"/>
      <c r="F28" s="24"/>
    </row>
    <row r="29" spans="1:6" ht="31.5" x14ac:dyDescent="0.25">
      <c r="A29" s="16" t="s">
        <v>37</v>
      </c>
      <c r="B29" s="37">
        <v>3481.31</v>
      </c>
      <c r="D29" s="23"/>
      <c r="E29" s="23"/>
      <c r="F29" s="23"/>
    </row>
    <row r="30" spans="1:6" x14ac:dyDescent="0.25">
      <c r="A30" s="19" t="s">
        <v>38</v>
      </c>
      <c r="B30" s="41">
        <v>0</v>
      </c>
      <c r="D30" s="23"/>
      <c r="E30" s="23"/>
      <c r="F30" s="23"/>
    </row>
    <row r="31" spans="1:6" x14ac:dyDescent="0.25">
      <c r="A31" s="19" t="s">
        <v>39</v>
      </c>
      <c r="B31" s="41">
        <v>0</v>
      </c>
      <c r="D31" s="23"/>
      <c r="E31" s="23"/>
      <c r="F31" s="23"/>
    </row>
    <row r="32" spans="1:6" ht="94.5" x14ac:dyDescent="0.25">
      <c r="A32" s="16" t="s">
        <v>40</v>
      </c>
      <c r="B32" s="37">
        <v>5394.59</v>
      </c>
    </row>
    <row r="33" spans="1:4" ht="47.25" x14ac:dyDescent="0.25">
      <c r="A33" s="16" t="s">
        <v>6</v>
      </c>
      <c r="B33" s="37">
        <v>2996.36</v>
      </c>
      <c r="D33" s="7"/>
    </row>
    <row r="34" spans="1:4" ht="60" x14ac:dyDescent="0.25">
      <c r="A34" s="2" t="s">
        <v>7</v>
      </c>
      <c r="B34" s="39">
        <v>0</v>
      </c>
    </row>
    <row r="35" spans="1:4" ht="45" x14ac:dyDescent="0.25">
      <c r="A35" s="2" t="s">
        <v>8</v>
      </c>
      <c r="B35" s="41">
        <v>56098.9</v>
      </c>
    </row>
    <row r="36" spans="1:4" ht="30" x14ac:dyDescent="0.25">
      <c r="A36" s="2" t="s">
        <v>9</v>
      </c>
      <c r="B36" s="39">
        <v>-11085.7</v>
      </c>
    </row>
    <row r="37" spans="1:4" ht="60.75" x14ac:dyDescent="0.25">
      <c r="A37" s="5" t="s">
        <v>10</v>
      </c>
      <c r="B37" s="39" t="s">
        <v>50</v>
      </c>
    </row>
    <row r="38" spans="1:4" ht="45" x14ac:dyDescent="0.25">
      <c r="A38" s="2" t="s">
        <v>11</v>
      </c>
      <c r="B38" s="39">
        <v>54.44</v>
      </c>
    </row>
    <row r="39" spans="1:4" ht="30" x14ac:dyDescent="0.25">
      <c r="A39" s="2" t="s">
        <v>12</v>
      </c>
      <c r="B39" s="42">
        <v>36.9</v>
      </c>
    </row>
    <row r="40" spans="1:4" ht="45" x14ac:dyDescent="0.25">
      <c r="A40" s="2" t="s">
        <v>13</v>
      </c>
      <c r="B40" s="39">
        <v>51.847177000000002</v>
      </c>
    </row>
    <row r="41" spans="1:4" ht="45" x14ac:dyDescent="0.25">
      <c r="A41" s="2" t="s">
        <v>14</v>
      </c>
      <c r="B41" s="39">
        <v>0</v>
      </c>
    </row>
    <row r="42" spans="1:4" ht="75" x14ac:dyDescent="0.25">
      <c r="A42" s="2" t="s">
        <v>15</v>
      </c>
      <c r="B42" s="39">
        <v>39.008507999999999</v>
      </c>
    </row>
    <row r="43" spans="1:4" ht="45" x14ac:dyDescent="0.25">
      <c r="A43" s="2" t="s">
        <v>16</v>
      </c>
      <c r="B43" s="39">
        <v>192950000</v>
      </c>
    </row>
    <row r="44" spans="1:4" ht="30" x14ac:dyDescent="0.25">
      <c r="A44" s="2" t="s">
        <v>17</v>
      </c>
      <c r="B44" s="39">
        <v>2.6955900000000002</v>
      </c>
    </row>
    <row r="45" spans="1:4" ht="30" x14ac:dyDescent="0.25">
      <c r="A45" s="2" t="s">
        <v>18</v>
      </c>
      <c r="B45" s="39">
        <v>44</v>
      </c>
    </row>
    <row r="46" spans="1:4" ht="30" x14ac:dyDescent="0.25">
      <c r="A46" s="2" t="s">
        <v>19</v>
      </c>
      <c r="B46" s="39">
        <v>40</v>
      </c>
    </row>
    <row r="47" spans="1:4" ht="60" x14ac:dyDescent="0.25">
      <c r="A47" s="2" t="s">
        <v>20</v>
      </c>
      <c r="B47" s="39">
        <v>174.40162708807003</v>
      </c>
    </row>
    <row r="48" spans="1:4" ht="60" x14ac:dyDescent="0.25">
      <c r="A48" s="2" t="s">
        <v>22</v>
      </c>
      <c r="B48" s="41" t="s">
        <v>41</v>
      </c>
    </row>
    <row r="49" spans="1:2" ht="60" x14ac:dyDescent="0.25">
      <c r="A49" s="2" t="s">
        <v>21</v>
      </c>
      <c r="B49" s="41" t="s">
        <v>41</v>
      </c>
    </row>
  </sheetData>
  <mergeCells count="2">
    <mergeCell ref="A2:B2"/>
    <mergeCell ref="A4:B4"/>
  </mergeCells>
  <dataValidations count="3">
    <dataValidation type="decimal" allowBlank="1" showErrorMessage="1" errorTitle="Ошибка" error="Допускается ввод только неотрицательных чисел!" sqref="F26:F28 F9:F11 B15:B16 B12:C1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8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sqref="E9">
      <formula1>900</formula1>
    </dataValidation>
  </dataValidations>
  <pageMargins left="0.7" right="0.7" top="0.75" bottom="0.75" header="0.3" footer="0.3"/>
  <pageSetup paperSize="9" scale="86" orientation="portrait" horizontalDpi="180" verticalDpi="180" r:id="rId1"/>
  <colBreaks count="1" manualBreakCount="1">
    <brk id="2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49"/>
  <sheetViews>
    <sheetView workbookViewId="0">
      <selection activeCell="E12" sqref="E12"/>
    </sheetView>
  </sheetViews>
  <sheetFormatPr defaultRowHeight="15" x14ac:dyDescent="0.25"/>
  <cols>
    <col min="1" max="1" width="77.5703125" style="67" customWidth="1"/>
    <col min="2" max="2" width="22" style="67" customWidth="1"/>
    <col min="3" max="4" width="9.140625" style="67"/>
    <col min="5" max="5" width="14.5703125" style="67" customWidth="1"/>
    <col min="6" max="16384" width="9.140625" style="67"/>
  </cols>
  <sheetData>
    <row r="2" spans="1:5" ht="15.75" x14ac:dyDescent="0.25">
      <c r="A2" s="101" t="s">
        <v>0</v>
      </c>
      <c r="B2" s="101"/>
    </row>
    <row r="3" spans="1:5" ht="15.75" x14ac:dyDescent="0.25">
      <c r="A3" s="88"/>
      <c r="B3" s="88"/>
    </row>
    <row r="4" spans="1:5" ht="15.75" x14ac:dyDescent="0.25">
      <c r="A4" s="101" t="s">
        <v>56</v>
      </c>
      <c r="B4" s="101"/>
    </row>
    <row r="5" spans="1:5" ht="15.75" x14ac:dyDescent="0.25">
      <c r="A5" s="80"/>
    </row>
    <row r="6" spans="1:5" ht="31.5" x14ac:dyDescent="0.25">
      <c r="A6" s="81" t="s">
        <v>1</v>
      </c>
      <c r="B6" s="68">
        <f>112490.48723/1.2</f>
        <v>93742.072691666675</v>
      </c>
      <c r="E6" s="97"/>
    </row>
    <row r="7" spans="1:5" ht="31.5" x14ac:dyDescent="0.25">
      <c r="A7" s="81" t="s">
        <v>2</v>
      </c>
      <c r="B7" s="68">
        <f>B9+B17+B21+B22+B23+B24+B25+B26+B29+B32+B33</f>
        <v>134826.44011</v>
      </c>
      <c r="E7" s="99"/>
    </row>
    <row r="8" spans="1:5" ht="31.5" x14ac:dyDescent="0.25">
      <c r="A8" s="81" t="s">
        <v>3</v>
      </c>
      <c r="B8" s="68">
        <v>0</v>
      </c>
    </row>
    <row r="9" spans="1:5" ht="47.25" x14ac:dyDescent="0.25">
      <c r="A9" s="81" t="s">
        <v>4</v>
      </c>
      <c r="B9" s="68">
        <f>B10+B14</f>
        <v>48788.220600000001</v>
      </c>
    </row>
    <row r="10" spans="1:5" x14ac:dyDescent="0.25">
      <c r="A10" s="82" t="s">
        <v>23</v>
      </c>
      <c r="B10" s="69">
        <f>B11*B12+B13</f>
        <v>48788.220600000001</v>
      </c>
      <c r="E10" s="97"/>
    </row>
    <row r="11" spans="1:5" x14ac:dyDescent="0.25">
      <c r="A11" s="82" t="s">
        <v>24</v>
      </c>
      <c r="B11" s="89">
        <v>7965.009</v>
      </c>
    </row>
    <row r="12" spans="1:5" x14ac:dyDescent="0.25">
      <c r="A12" s="82" t="s">
        <v>25</v>
      </c>
      <c r="B12" s="69">
        <f>45415.88969/B11</f>
        <v>5.7019257216156323</v>
      </c>
      <c r="C12" s="83"/>
    </row>
    <row r="13" spans="1:5" x14ac:dyDescent="0.25">
      <c r="A13" s="82" t="s">
        <v>52</v>
      </c>
      <c r="B13" s="69">
        <v>3372.3309100000001</v>
      </c>
      <c r="C13" s="83"/>
    </row>
    <row r="14" spans="1:5" x14ac:dyDescent="0.25">
      <c r="A14" s="82" t="s">
        <v>27</v>
      </c>
      <c r="B14" s="94">
        <v>0</v>
      </c>
    </row>
    <row r="15" spans="1:5" x14ac:dyDescent="0.25">
      <c r="A15" s="82" t="s">
        <v>28</v>
      </c>
      <c r="B15" s="93">
        <v>0</v>
      </c>
    </row>
    <row r="16" spans="1:5" x14ac:dyDescent="0.25">
      <c r="A16" s="82" t="s">
        <v>29</v>
      </c>
      <c r="B16" s="94">
        <v>0</v>
      </c>
    </row>
    <row r="17" spans="1:5" ht="47.25" x14ac:dyDescent="0.25">
      <c r="A17" s="81" t="s">
        <v>32</v>
      </c>
      <c r="B17" s="68">
        <v>5520.0237200000001</v>
      </c>
      <c r="E17" s="97"/>
    </row>
    <row r="18" spans="1:5" x14ac:dyDescent="0.25">
      <c r="A18" s="82" t="s">
        <v>42</v>
      </c>
      <c r="B18" s="69">
        <f>B17/B19</f>
        <v>3.6211955273179326</v>
      </c>
    </row>
    <row r="19" spans="1:5" x14ac:dyDescent="0.25">
      <c r="A19" s="82" t="s">
        <v>43</v>
      </c>
      <c r="B19" s="69">
        <v>1524.365</v>
      </c>
    </row>
    <row r="20" spans="1:5" ht="31.5" x14ac:dyDescent="0.25">
      <c r="A20" s="81" t="s">
        <v>5</v>
      </c>
      <c r="B20" s="90" t="s">
        <v>41</v>
      </c>
    </row>
    <row r="21" spans="1:5" ht="31.5" x14ac:dyDescent="0.25">
      <c r="A21" s="81" t="s">
        <v>30</v>
      </c>
      <c r="B21" s="68">
        <v>6.0419999999999998</v>
      </c>
    </row>
    <row r="22" spans="1:5" ht="31.5" x14ac:dyDescent="0.25">
      <c r="A22" s="84" t="s">
        <v>31</v>
      </c>
      <c r="B22" s="68">
        <v>17993.460999999999</v>
      </c>
    </row>
    <row r="23" spans="1:5" ht="33" customHeight="1" x14ac:dyDescent="0.25">
      <c r="A23" s="81" t="s">
        <v>33</v>
      </c>
      <c r="B23" s="68">
        <f>14127.51366+53.80952+27.88543+4240.90249</f>
        <v>18450.111100000002</v>
      </c>
    </row>
    <row r="24" spans="1:5" ht="31.5" x14ac:dyDescent="0.25">
      <c r="A24" s="81" t="s">
        <v>34</v>
      </c>
      <c r="B24" s="68">
        <v>7986.9947899999997</v>
      </c>
      <c r="E24" s="98"/>
    </row>
    <row r="25" spans="1:5" ht="47.25" x14ac:dyDescent="0.25">
      <c r="A25" s="81" t="s">
        <v>35</v>
      </c>
      <c r="B25" s="95">
        <v>0</v>
      </c>
    </row>
    <row r="26" spans="1:5" ht="31.5" x14ac:dyDescent="0.25">
      <c r="A26" s="81" t="s">
        <v>36</v>
      </c>
      <c r="B26" s="68">
        <f>4638.12-B14-B21</f>
        <v>4632.0779999999995</v>
      </c>
      <c r="D26" s="85"/>
    </row>
    <row r="27" spans="1:5" x14ac:dyDescent="0.25">
      <c r="A27" s="19" t="s">
        <v>38</v>
      </c>
      <c r="B27" s="93">
        <v>0</v>
      </c>
      <c r="D27" s="85"/>
    </row>
    <row r="28" spans="1:5" x14ac:dyDescent="0.25">
      <c r="A28" s="19" t="s">
        <v>39</v>
      </c>
      <c r="B28" s="93">
        <v>0</v>
      </c>
      <c r="D28" s="85"/>
    </row>
    <row r="29" spans="1:5" ht="31.5" x14ac:dyDescent="0.25">
      <c r="A29" s="81" t="s">
        <v>37</v>
      </c>
      <c r="B29" s="68">
        <f>24609.61-B23</f>
        <v>6159.4988999999987</v>
      </c>
      <c r="D29" s="86"/>
    </row>
    <row r="30" spans="1:5" x14ac:dyDescent="0.25">
      <c r="A30" s="19" t="s">
        <v>38</v>
      </c>
      <c r="B30" s="71">
        <v>705.55</v>
      </c>
      <c r="D30" s="86"/>
    </row>
    <row r="31" spans="1:5" x14ac:dyDescent="0.25">
      <c r="A31" s="19" t="s">
        <v>39</v>
      </c>
      <c r="B31" s="96">
        <v>0</v>
      </c>
      <c r="D31" s="86"/>
    </row>
    <row r="32" spans="1:5" ht="94.5" x14ac:dyDescent="0.25">
      <c r="A32" s="81" t="s">
        <v>40</v>
      </c>
      <c r="B32" s="68">
        <v>24064.13</v>
      </c>
    </row>
    <row r="33" spans="1:2" ht="47.25" x14ac:dyDescent="0.25">
      <c r="A33" s="81" t="s">
        <v>6</v>
      </c>
      <c r="B33" s="68">
        <v>1225.8800000000001</v>
      </c>
    </row>
    <row r="34" spans="1:2" ht="60" x14ac:dyDescent="0.25">
      <c r="A34" s="87" t="s">
        <v>7</v>
      </c>
      <c r="B34" s="93">
        <v>0</v>
      </c>
    </row>
    <row r="35" spans="1:2" ht="45" x14ac:dyDescent="0.25">
      <c r="A35" s="87" t="s">
        <v>8</v>
      </c>
      <c r="B35" s="93">
        <v>0</v>
      </c>
    </row>
    <row r="36" spans="1:2" ht="30" x14ac:dyDescent="0.25">
      <c r="A36" s="87" t="s">
        <v>9</v>
      </c>
      <c r="B36" s="69">
        <v>-17600.400000000001</v>
      </c>
    </row>
    <row r="37" spans="1:2" ht="72" x14ac:dyDescent="0.25">
      <c r="A37" s="87" t="s">
        <v>10</v>
      </c>
      <c r="B37" s="91" t="s">
        <v>50</v>
      </c>
    </row>
    <row r="38" spans="1:2" ht="45" x14ac:dyDescent="0.25">
      <c r="A38" s="87" t="s">
        <v>11</v>
      </c>
      <c r="B38" s="69">
        <v>51.3</v>
      </c>
    </row>
    <row r="39" spans="1:2" ht="30" x14ac:dyDescent="0.25">
      <c r="A39" s="87" t="s">
        <v>12</v>
      </c>
      <c r="B39" s="69">
        <v>44.59</v>
      </c>
    </row>
    <row r="40" spans="1:2" ht="45" x14ac:dyDescent="0.25">
      <c r="A40" s="87" t="s">
        <v>13</v>
      </c>
      <c r="B40" s="89">
        <v>58.299351999999999</v>
      </c>
    </row>
    <row r="41" spans="1:2" ht="45" x14ac:dyDescent="0.25">
      <c r="A41" s="87" t="s">
        <v>14</v>
      </c>
      <c r="B41" s="93">
        <v>0</v>
      </c>
    </row>
    <row r="42" spans="1:2" ht="75" x14ac:dyDescent="0.25">
      <c r="A42" s="87" t="s">
        <v>15</v>
      </c>
      <c r="B42" s="89">
        <v>44.460268999999997</v>
      </c>
    </row>
    <row r="43" spans="1:2" ht="45" x14ac:dyDescent="0.25">
      <c r="A43" s="87" t="s">
        <v>16</v>
      </c>
      <c r="B43" s="69">
        <f>2874.9/12*1000000</f>
        <v>239575000.00000003</v>
      </c>
    </row>
    <row r="44" spans="1:2" ht="30" x14ac:dyDescent="0.25">
      <c r="A44" s="87" t="s">
        <v>17</v>
      </c>
      <c r="B44" s="89">
        <v>2.961001</v>
      </c>
    </row>
    <row r="45" spans="1:2" ht="30" x14ac:dyDescent="0.25">
      <c r="A45" s="87" t="s">
        <v>18</v>
      </c>
      <c r="B45" s="93">
        <v>27</v>
      </c>
    </row>
    <row r="46" spans="1:2" ht="30" x14ac:dyDescent="0.25">
      <c r="A46" s="87" t="s">
        <v>19</v>
      </c>
      <c r="B46" s="93">
        <v>40</v>
      </c>
    </row>
    <row r="47" spans="1:2" ht="60" x14ac:dyDescent="0.25">
      <c r="A47" s="87" t="s">
        <v>20</v>
      </c>
      <c r="B47" s="89">
        <f>9380.741/(B40-1.50068)</f>
        <v>165.15775227984204</v>
      </c>
    </row>
    <row r="48" spans="1:2" ht="60" x14ac:dyDescent="0.25">
      <c r="A48" s="87" t="s">
        <v>22</v>
      </c>
      <c r="B48" s="92">
        <f>B19/B40/1000</f>
        <v>2.6147203145585565E-2</v>
      </c>
    </row>
    <row r="49" spans="1:2" ht="60" x14ac:dyDescent="0.25">
      <c r="A49" s="87" t="s">
        <v>21</v>
      </c>
      <c r="B49" s="92">
        <f>10625/(B40*1000)</f>
        <v>0.18224902396856829</v>
      </c>
    </row>
  </sheetData>
  <mergeCells count="2">
    <mergeCell ref="A2:B2"/>
    <mergeCell ref="A4:B4"/>
  </mergeCells>
  <dataValidations count="1">
    <dataValidation type="decimal" allowBlank="1" showErrorMessage="1" errorTitle="Ошибка" error="Допускается ввод только неотрицательных чисел!" sqref="D26:D28 B12:C13">
      <formula1>0</formula1>
      <formula2>9.99999999999999E+23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49"/>
  <sheetViews>
    <sheetView topLeftCell="A34" zoomScaleNormal="100" workbookViewId="0">
      <selection activeCell="I18" sqref="I18"/>
    </sheetView>
  </sheetViews>
  <sheetFormatPr defaultRowHeight="15" x14ac:dyDescent="0.25"/>
  <cols>
    <col min="1" max="1" width="77.5703125" style="67" customWidth="1"/>
    <col min="2" max="2" width="22" style="67" customWidth="1"/>
    <col min="3" max="16384" width="9.140625" style="67"/>
  </cols>
  <sheetData>
    <row r="2" spans="1:3" ht="15.75" x14ac:dyDescent="0.25">
      <c r="A2" s="101" t="s">
        <v>0</v>
      </c>
      <c r="B2" s="101"/>
    </row>
    <row r="3" spans="1:3" ht="15.75" x14ac:dyDescent="0.25">
      <c r="A3" s="66"/>
      <c r="B3" s="66"/>
    </row>
    <row r="4" spans="1:3" ht="15.75" x14ac:dyDescent="0.25">
      <c r="A4" s="101" t="s">
        <v>55</v>
      </c>
      <c r="B4" s="101"/>
    </row>
    <row r="5" spans="1:3" ht="15.75" x14ac:dyDescent="0.25">
      <c r="A5" s="80"/>
    </row>
    <row r="6" spans="1:3" ht="31.5" x14ac:dyDescent="0.25">
      <c r="A6" s="81" t="s">
        <v>1</v>
      </c>
      <c r="B6" s="68">
        <f>108599.90904/1.2</f>
        <v>90499.924200000009</v>
      </c>
    </row>
    <row r="7" spans="1:3" ht="31.5" x14ac:dyDescent="0.25">
      <c r="A7" s="81" t="s">
        <v>2</v>
      </c>
      <c r="B7" s="68">
        <f>B9+B17+B21+B22+B23+B24+B25+B26+B29+B32+B33</f>
        <v>124796.01347000001</v>
      </c>
    </row>
    <row r="8" spans="1:3" ht="31.5" x14ac:dyDescent="0.25">
      <c r="A8" s="81" t="s">
        <v>3</v>
      </c>
      <c r="B8" s="68">
        <v>0</v>
      </c>
    </row>
    <row r="9" spans="1:3" ht="47.25" x14ac:dyDescent="0.25">
      <c r="A9" s="81" t="s">
        <v>4</v>
      </c>
      <c r="B9" s="68">
        <f>B10+B14</f>
        <v>46881.511610000001</v>
      </c>
    </row>
    <row r="10" spans="1:3" x14ac:dyDescent="0.25">
      <c r="A10" s="82" t="s">
        <v>23</v>
      </c>
      <c r="B10" s="69">
        <f>B11*B12+B13</f>
        <v>46881.511610000001</v>
      </c>
    </row>
    <row r="11" spans="1:3" x14ac:dyDescent="0.25">
      <c r="A11" s="82" t="s">
        <v>24</v>
      </c>
      <c r="B11" s="89">
        <v>8152.1559999999999</v>
      </c>
    </row>
    <row r="12" spans="1:3" x14ac:dyDescent="0.25">
      <c r="A12" s="82" t="s">
        <v>25</v>
      </c>
      <c r="B12" s="69">
        <f>43973.00894/B11</f>
        <v>5.3940342824646637</v>
      </c>
      <c r="C12" s="83"/>
    </row>
    <row r="13" spans="1:3" x14ac:dyDescent="0.25">
      <c r="A13" s="82" t="s">
        <v>52</v>
      </c>
      <c r="B13" s="69">
        <v>2908.5026699999999</v>
      </c>
      <c r="C13" s="83"/>
    </row>
    <row r="14" spans="1:3" x14ac:dyDescent="0.25">
      <c r="A14" s="82" t="s">
        <v>27</v>
      </c>
      <c r="B14" s="94">
        <v>0</v>
      </c>
    </row>
    <row r="15" spans="1:3" x14ac:dyDescent="0.25">
      <c r="A15" s="82" t="s">
        <v>28</v>
      </c>
      <c r="B15" s="93">
        <v>0</v>
      </c>
    </row>
    <row r="16" spans="1:3" x14ac:dyDescent="0.25">
      <c r="A16" s="82" t="s">
        <v>29</v>
      </c>
      <c r="B16" s="94">
        <v>0</v>
      </c>
    </row>
    <row r="17" spans="1:4" ht="47.25" x14ac:dyDescent="0.25">
      <c r="A17" s="81" t="s">
        <v>32</v>
      </c>
      <c r="B17" s="68">
        <v>4837.9809999999998</v>
      </c>
    </row>
    <row r="18" spans="1:4" x14ac:dyDescent="0.25">
      <c r="A18" s="82" t="s">
        <v>42</v>
      </c>
      <c r="B18" s="69">
        <f>B17/B19</f>
        <v>3.1628026019023956</v>
      </c>
    </row>
    <row r="19" spans="1:4" x14ac:dyDescent="0.25">
      <c r="A19" s="82" t="s">
        <v>43</v>
      </c>
      <c r="B19" s="69">
        <v>1529.65</v>
      </c>
    </row>
    <row r="20" spans="1:4" ht="31.5" x14ac:dyDescent="0.25">
      <c r="A20" s="81" t="s">
        <v>5</v>
      </c>
      <c r="B20" s="90" t="s">
        <v>41</v>
      </c>
    </row>
    <row r="21" spans="1:4" ht="31.5" x14ac:dyDescent="0.25">
      <c r="A21" s="81" t="s">
        <v>30</v>
      </c>
      <c r="B21" s="68">
        <v>15.367000000000001</v>
      </c>
    </row>
    <row r="22" spans="1:4" ht="31.5" x14ac:dyDescent="0.25">
      <c r="A22" s="84" t="s">
        <v>31</v>
      </c>
      <c r="B22" s="68">
        <f>12467.96456+3757.57</f>
        <v>16225.53456</v>
      </c>
    </row>
    <row r="23" spans="1:4" ht="33" customHeight="1" x14ac:dyDescent="0.25">
      <c r="A23" s="81" t="s">
        <v>33</v>
      </c>
      <c r="B23" s="68">
        <f>13241.788+27.177+26.04+3942.27</f>
        <v>17237.275000000001</v>
      </c>
    </row>
    <row r="24" spans="1:4" ht="31.5" x14ac:dyDescent="0.25">
      <c r="A24" s="81" t="s">
        <v>34</v>
      </c>
      <c r="B24" s="68">
        <v>8985.4</v>
      </c>
    </row>
    <row r="25" spans="1:4" ht="47.25" x14ac:dyDescent="0.25">
      <c r="A25" s="81" t="s">
        <v>35</v>
      </c>
      <c r="B25" s="95">
        <v>0</v>
      </c>
    </row>
    <row r="26" spans="1:4" ht="31.5" x14ac:dyDescent="0.25">
      <c r="A26" s="81" t="s">
        <v>36</v>
      </c>
      <c r="B26" s="68">
        <f>4691.7363-B14-B21</f>
        <v>4676.3692999999994</v>
      </c>
      <c r="D26" s="85"/>
    </row>
    <row r="27" spans="1:4" x14ac:dyDescent="0.25">
      <c r="A27" s="19" t="s">
        <v>38</v>
      </c>
      <c r="B27" s="93">
        <v>0</v>
      </c>
      <c r="D27" s="85"/>
    </row>
    <row r="28" spans="1:4" x14ac:dyDescent="0.25">
      <c r="A28" s="19" t="s">
        <v>39</v>
      </c>
      <c r="B28" s="93">
        <v>0</v>
      </c>
      <c r="D28" s="85"/>
    </row>
    <row r="29" spans="1:4" ht="31.5" x14ac:dyDescent="0.25">
      <c r="A29" s="81" t="s">
        <v>37</v>
      </c>
      <c r="B29" s="68">
        <f>24240.06-B23</f>
        <v>7002.7849999999999</v>
      </c>
      <c r="D29" s="86"/>
    </row>
    <row r="30" spans="1:4" x14ac:dyDescent="0.25">
      <c r="A30" s="19" t="s">
        <v>38</v>
      </c>
      <c r="B30" s="71">
        <v>286.83999999999997</v>
      </c>
      <c r="D30" s="86"/>
    </row>
    <row r="31" spans="1:4" x14ac:dyDescent="0.25">
      <c r="A31" s="19" t="s">
        <v>39</v>
      </c>
      <c r="B31" s="96">
        <v>0</v>
      </c>
      <c r="D31" s="86"/>
    </row>
    <row r="32" spans="1:4" ht="94.5" x14ac:dyDescent="0.25">
      <c r="A32" s="81" t="s">
        <v>40</v>
      </c>
      <c r="B32" s="68">
        <v>17824.89</v>
      </c>
    </row>
    <row r="33" spans="1:2" ht="47.25" x14ac:dyDescent="0.25">
      <c r="A33" s="81" t="s">
        <v>6</v>
      </c>
      <c r="B33" s="68">
        <v>1108.9000000000001</v>
      </c>
    </row>
    <row r="34" spans="1:2" ht="60" x14ac:dyDescent="0.25">
      <c r="A34" s="87" t="s">
        <v>7</v>
      </c>
      <c r="B34" s="93">
        <v>0</v>
      </c>
    </row>
    <row r="35" spans="1:2" ht="45" x14ac:dyDescent="0.25">
      <c r="A35" s="87" t="s">
        <v>8</v>
      </c>
      <c r="B35" s="93">
        <v>0</v>
      </c>
    </row>
    <row r="36" spans="1:2" ht="30" x14ac:dyDescent="0.25">
      <c r="A36" s="87" t="s">
        <v>9</v>
      </c>
      <c r="B36" s="69">
        <v>-12954.968790335712</v>
      </c>
    </row>
    <row r="37" spans="1:2" ht="72" x14ac:dyDescent="0.25">
      <c r="A37" s="87" t="s">
        <v>10</v>
      </c>
      <c r="B37" s="91" t="s">
        <v>50</v>
      </c>
    </row>
    <row r="38" spans="1:2" ht="45" x14ac:dyDescent="0.25">
      <c r="A38" s="87" t="s">
        <v>11</v>
      </c>
      <c r="B38" s="69">
        <v>51.3</v>
      </c>
    </row>
    <row r="39" spans="1:2" ht="30" x14ac:dyDescent="0.25">
      <c r="A39" s="87" t="s">
        <v>12</v>
      </c>
      <c r="B39" s="69">
        <v>44.59</v>
      </c>
    </row>
    <row r="40" spans="1:2" ht="45" x14ac:dyDescent="0.25">
      <c r="A40" s="87" t="s">
        <v>13</v>
      </c>
      <c r="B40" s="89">
        <v>59.432566000000001</v>
      </c>
    </row>
    <row r="41" spans="1:2" ht="45" x14ac:dyDescent="0.25">
      <c r="A41" s="87" t="s">
        <v>14</v>
      </c>
      <c r="B41" s="93">
        <v>0</v>
      </c>
    </row>
    <row r="42" spans="1:2" ht="75" x14ac:dyDescent="0.25">
      <c r="A42" s="87" t="s">
        <v>15</v>
      </c>
      <c r="B42" s="89">
        <v>45.465307000000003</v>
      </c>
    </row>
    <row r="43" spans="1:2" ht="45" x14ac:dyDescent="0.25">
      <c r="A43" s="87" t="s">
        <v>16</v>
      </c>
      <c r="B43" s="69">
        <f>2874.9/12*1000000</f>
        <v>239575000.00000003</v>
      </c>
    </row>
    <row r="44" spans="1:2" ht="30" x14ac:dyDescent="0.25">
      <c r="A44" s="87" t="s">
        <v>17</v>
      </c>
      <c r="B44" s="89">
        <v>3.012775</v>
      </c>
    </row>
    <row r="45" spans="1:2" ht="30" x14ac:dyDescent="0.25">
      <c r="A45" s="87" t="s">
        <v>18</v>
      </c>
      <c r="B45" s="93">
        <v>26</v>
      </c>
    </row>
    <row r="46" spans="1:2" ht="30" x14ac:dyDescent="0.25">
      <c r="A46" s="87" t="s">
        <v>19</v>
      </c>
      <c r="B46" s="93">
        <v>35</v>
      </c>
    </row>
    <row r="47" spans="1:2" ht="60" x14ac:dyDescent="0.25">
      <c r="A47" s="87" t="s">
        <v>20</v>
      </c>
      <c r="B47" s="89">
        <f>9549.291/(B40-1.57572)</f>
        <v>165.05032092485646</v>
      </c>
    </row>
    <row r="48" spans="1:2" ht="60" x14ac:dyDescent="0.25">
      <c r="A48" s="87" t="s">
        <v>22</v>
      </c>
      <c r="B48" s="92">
        <f>B19/B40/1000</f>
        <v>2.5737572899006245E-2</v>
      </c>
    </row>
    <row r="49" spans="1:2" ht="60" x14ac:dyDescent="0.25">
      <c r="A49" s="87" t="s">
        <v>21</v>
      </c>
      <c r="B49" s="92">
        <f>10401/(B40*1000)</f>
        <v>0.17500506372213509</v>
      </c>
    </row>
  </sheetData>
  <mergeCells count="2">
    <mergeCell ref="A2:B2"/>
    <mergeCell ref="A4:B4"/>
  </mergeCells>
  <dataValidations count="1">
    <dataValidation type="decimal" allowBlank="1" showErrorMessage="1" errorTitle="Ошибка" error="Допускается ввод только неотрицательных чисел!" sqref="D26:D28 B12:C13">
      <formula1>0</formula1>
      <formula2>9.99999999999999E+23</formula2>
    </dataValidation>
  </dataValidations>
  <pageMargins left="0.7" right="0.7" top="0.75" bottom="0.75" header="0.3" footer="0.3"/>
  <pageSetup paperSize="9" scale="87" orientation="portrait" r:id="rId1"/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49"/>
  <sheetViews>
    <sheetView workbookViewId="0">
      <selection activeCell="B12" sqref="B12"/>
    </sheetView>
  </sheetViews>
  <sheetFormatPr defaultRowHeight="15" x14ac:dyDescent="0.25"/>
  <cols>
    <col min="1" max="1" width="77.5703125" customWidth="1"/>
    <col min="2" max="2" width="22" style="67" customWidth="1"/>
    <col min="6" max="6" width="22.7109375" customWidth="1"/>
  </cols>
  <sheetData>
    <row r="2" spans="1:6" ht="15.75" x14ac:dyDescent="0.25">
      <c r="A2" s="102" t="s">
        <v>0</v>
      </c>
      <c r="B2" s="102"/>
    </row>
    <row r="3" spans="1:6" ht="15.75" x14ac:dyDescent="0.25">
      <c r="A3" s="77"/>
      <c r="B3" s="66"/>
    </row>
    <row r="4" spans="1:6" ht="15.75" x14ac:dyDescent="0.25">
      <c r="A4" s="102" t="s">
        <v>54</v>
      </c>
      <c r="B4" s="102"/>
    </row>
    <row r="5" spans="1:6" ht="15.75" x14ac:dyDescent="0.25">
      <c r="A5" s="1"/>
    </row>
    <row r="6" spans="1:6" ht="31.5" x14ac:dyDescent="0.25">
      <c r="A6" s="16" t="s">
        <v>1</v>
      </c>
      <c r="B6" s="68">
        <v>77291.118000000002</v>
      </c>
      <c r="F6" s="76"/>
    </row>
    <row r="7" spans="1:6" ht="31.5" x14ac:dyDescent="0.25">
      <c r="A7" s="16" t="s">
        <v>2</v>
      </c>
      <c r="B7" s="68">
        <f>B9+B17+B21+B22+B23+B24+B25+B26+B29+B32+B33</f>
        <v>107243.08775999999</v>
      </c>
      <c r="F7" s="7"/>
    </row>
    <row r="8" spans="1:6" ht="31.5" x14ac:dyDescent="0.25">
      <c r="A8" s="16" t="s">
        <v>3</v>
      </c>
      <c r="B8" s="68">
        <v>0</v>
      </c>
    </row>
    <row r="9" spans="1:6" ht="47.25" x14ac:dyDescent="0.25">
      <c r="A9" s="16" t="s">
        <v>4</v>
      </c>
      <c r="B9" s="68">
        <f>B10+B14</f>
        <v>39995.604339999998</v>
      </c>
    </row>
    <row r="10" spans="1:6" x14ac:dyDescent="0.25">
      <c r="A10" s="11" t="s">
        <v>23</v>
      </c>
      <c r="B10" s="69">
        <f>B11*B12+B13</f>
        <v>39952.484759999999</v>
      </c>
    </row>
    <row r="11" spans="1:6" x14ac:dyDescent="0.25">
      <c r="A11" s="11" t="s">
        <v>24</v>
      </c>
      <c r="B11" s="69">
        <v>7181.16</v>
      </c>
    </row>
    <row r="12" spans="1:6" x14ac:dyDescent="0.25">
      <c r="A12" s="11" t="s">
        <v>25</v>
      </c>
      <c r="B12" s="69">
        <f>(36635.17044+996.60138)/B11</f>
        <v>5.2403472168841807</v>
      </c>
      <c r="C12" s="10"/>
    </row>
    <row r="13" spans="1:6" x14ac:dyDescent="0.25">
      <c r="A13" s="11" t="s">
        <v>52</v>
      </c>
      <c r="B13" s="69">
        <v>2320.7129399999999</v>
      </c>
      <c r="C13" s="10"/>
    </row>
    <row r="14" spans="1:6" x14ac:dyDescent="0.25">
      <c r="A14" s="11" t="s">
        <v>27</v>
      </c>
      <c r="B14" s="78">
        <v>43.119579999999999</v>
      </c>
    </row>
    <row r="15" spans="1:6" x14ac:dyDescent="0.25">
      <c r="A15" s="11" t="s">
        <v>28</v>
      </c>
      <c r="B15" s="69">
        <v>1.76</v>
      </c>
    </row>
    <row r="16" spans="1:6" x14ac:dyDescent="0.25">
      <c r="A16" s="11" t="s">
        <v>29</v>
      </c>
      <c r="B16" s="78">
        <f>B14/B15</f>
        <v>24.499761363636363</v>
      </c>
    </row>
    <row r="17" spans="1:6" ht="47.25" x14ac:dyDescent="0.25">
      <c r="A17" s="16" t="s">
        <v>32</v>
      </c>
      <c r="B17" s="68">
        <v>4548.5</v>
      </c>
    </row>
    <row r="18" spans="1:6" x14ac:dyDescent="0.25">
      <c r="A18" s="11" t="s">
        <v>42</v>
      </c>
      <c r="B18" s="69">
        <f>B17/B19</f>
        <v>3.2990745038876637</v>
      </c>
    </row>
    <row r="19" spans="1:6" x14ac:dyDescent="0.25">
      <c r="A19" s="11" t="s">
        <v>43</v>
      </c>
      <c r="B19" s="69">
        <v>1378.72</v>
      </c>
    </row>
    <row r="20" spans="1:6" ht="31.5" x14ac:dyDescent="0.25">
      <c r="A20" s="16" t="s">
        <v>5</v>
      </c>
      <c r="B20" s="70" t="s">
        <v>41</v>
      </c>
    </row>
    <row r="21" spans="1:6" ht="31.5" x14ac:dyDescent="0.25">
      <c r="A21" s="16" t="s">
        <v>30</v>
      </c>
      <c r="B21" s="68">
        <v>26.257000000000001</v>
      </c>
    </row>
    <row r="22" spans="1:6" ht="31.5" x14ac:dyDescent="0.25">
      <c r="A22" s="18" t="s">
        <v>31</v>
      </c>
      <c r="B22" s="68">
        <f>9902.555+2996.948</f>
        <v>12899.503000000001</v>
      </c>
    </row>
    <row r="23" spans="1:6" ht="33" customHeight="1" x14ac:dyDescent="0.25">
      <c r="A23" s="16" t="s">
        <v>33</v>
      </c>
      <c r="B23" s="68">
        <f>11003.536+3294.962</f>
        <v>14298.498</v>
      </c>
    </row>
    <row r="24" spans="1:6" ht="31.5" x14ac:dyDescent="0.25">
      <c r="A24" s="16" t="s">
        <v>34</v>
      </c>
      <c r="B24" s="68">
        <v>11241.18</v>
      </c>
    </row>
    <row r="25" spans="1:6" ht="47.25" x14ac:dyDescent="0.25">
      <c r="A25" s="16" t="s">
        <v>35</v>
      </c>
      <c r="B25" s="68">
        <v>8107.58</v>
      </c>
    </row>
    <row r="26" spans="1:6" ht="31.5" x14ac:dyDescent="0.25">
      <c r="A26" s="16" t="s">
        <v>36</v>
      </c>
      <c r="B26" s="68">
        <f>2823.46-B14-B21</f>
        <v>2754.0834199999999</v>
      </c>
      <c r="D26" s="24"/>
    </row>
    <row r="27" spans="1:6" x14ac:dyDescent="0.25">
      <c r="A27" s="19" t="s">
        <v>38</v>
      </c>
      <c r="B27" s="69">
        <v>0</v>
      </c>
      <c r="D27" s="24"/>
      <c r="F27" s="7"/>
    </row>
    <row r="28" spans="1:6" x14ac:dyDescent="0.25">
      <c r="A28" s="19" t="s">
        <v>39</v>
      </c>
      <c r="B28" s="69">
        <v>0</v>
      </c>
      <c r="D28" s="24"/>
    </row>
    <row r="29" spans="1:6" ht="31.5" x14ac:dyDescent="0.25">
      <c r="A29" s="16" t="s">
        <v>37</v>
      </c>
      <c r="B29" s="68">
        <f>19587.06-B23</f>
        <v>5288.5620000000017</v>
      </c>
      <c r="D29" s="23"/>
    </row>
    <row r="30" spans="1:6" x14ac:dyDescent="0.25">
      <c r="A30" s="19" t="s">
        <v>38</v>
      </c>
      <c r="B30" s="71">
        <v>133.11000000000001</v>
      </c>
      <c r="D30" s="23"/>
    </row>
    <row r="31" spans="1:6" x14ac:dyDescent="0.25">
      <c r="A31" s="19" t="s">
        <v>39</v>
      </c>
      <c r="B31" s="71">
        <v>0</v>
      </c>
      <c r="D31" s="23"/>
    </row>
    <row r="32" spans="1:6" ht="94.5" x14ac:dyDescent="0.25">
      <c r="A32" s="16" t="s">
        <v>40</v>
      </c>
      <c r="B32" s="68">
        <v>6985.6</v>
      </c>
    </row>
    <row r="33" spans="1:6" ht="47.25" x14ac:dyDescent="0.25">
      <c r="A33" s="16" t="s">
        <v>6</v>
      </c>
      <c r="B33" s="68">
        <v>1097.72</v>
      </c>
    </row>
    <row r="34" spans="1:6" ht="60" x14ac:dyDescent="0.25">
      <c r="A34" s="2" t="s">
        <v>7</v>
      </c>
      <c r="B34" s="69">
        <v>0</v>
      </c>
    </row>
    <row r="35" spans="1:6" ht="45" x14ac:dyDescent="0.25">
      <c r="A35" s="2" t="s">
        <v>8</v>
      </c>
      <c r="B35" s="69">
        <v>0</v>
      </c>
    </row>
    <row r="36" spans="1:6" ht="30" x14ac:dyDescent="0.25">
      <c r="A36" s="2" t="s">
        <v>9</v>
      </c>
      <c r="B36" s="69">
        <v>-13386.8</v>
      </c>
    </row>
    <row r="37" spans="1:6" ht="72" x14ac:dyDescent="0.25">
      <c r="A37" s="2" t="s">
        <v>10</v>
      </c>
      <c r="B37" s="72" t="s">
        <v>50</v>
      </c>
    </row>
    <row r="38" spans="1:6" ht="45" x14ac:dyDescent="0.25">
      <c r="A38" s="2" t="s">
        <v>11</v>
      </c>
      <c r="B38" s="69">
        <v>51.3</v>
      </c>
    </row>
    <row r="39" spans="1:6" ht="30" x14ac:dyDescent="0.25">
      <c r="A39" s="2" t="s">
        <v>12</v>
      </c>
      <c r="B39" s="69">
        <v>44.59</v>
      </c>
    </row>
    <row r="40" spans="1:6" ht="45" x14ac:dyDescent="0.25">
      <c r="A40" s="2" t="s">
        <v>13</v>
      </c>
      <c r="B40" s="69">
        <v>52.454680000000003</v>
      </c>
    </row>
    <row r="41" spans="1:6" ht="45" x14ac:dyDescent="0.25">
      <c r="A41" s="2" t="s">
        <v>14</v>
      </c>
      <c r="B41" s="69">
        <v>0</v>
      </c>
    </row>
    <row r="42" spans="1:6" ht="75" x14ac:dyDescent="0.25">
      <c r="A42" s="2" t="s">
        <v>15</v>
      </c>
      <c r="B42" s="69">
        <v>40.366990999999999</v>
      </c>
    </row>
    <row r="43" spans="1:6" ht="45" x14ac:dyDescent="0.25">
      <c r="A43" s="2" t="s">
        <v>16</v>
      </c>
      <c r="B43" s="69">
        <f>2874.9/12*1000000</f>
        <v>239575000.00000003</v>
      </c>
      <c r="F43" s="79"/>
    </row>
    <row r="44" spans="1:6" ht="30" x14ac:dyDescent="0.25">
      <c r="A44" s="2" t="s">
        <v>17</v>
      </c>
      <c r="B44" s="69">
        <v>2.9869979999999998</v>
      </c>
    </row>
    <row r="45" spans="1:6" ht="30" x14ac:dyDescent="0.25">
      <c r="A45" s="2" t="s">
        <v>18</v>
      </c>
      <c r="B45" s="69">
        <v>26</v>
      </c>
    </row>
    <row r="46" spans="1:6" ht="30" x14ac:dyDescent="0.25">
      <c r="A46" s="2" t="s">
        <v>19</v>
      </c>
      <c r="B46" s="69">
        <v>35</v>
      </c>
    </row>
    <row r="47" spans="1:6" ht="60" x14ac:dyDescent="0.25">
      <c r="A47" s="2" t="s">
        <v>20</v>
      </c>
      <c r="B47" s="69">
        <f>8407.963/(B40-1.465728)</f>
        <v>164.89774098514516</v>
      </c>
    </row>
    <row r="48" spans="1:6" ht="60" x14ac:dyDescent="0.25">
      <c r="A48" s="2" t="s">
        <v>22</v>
      </c>
      <c r="B48" s="74">
        <f>B19/B40/1000</f>
        <v>2.628402270302669E-2</v>
      </c>
    </row>
    <row r="49" spans="1:2" ht="60" x14ac:dyDescent="0.25">
      <c r="A49" s="2" t="s">
        <v>21</v>
      </c>
      <c r="B49" s="74">
        <f>7070/(B40*1000)</f>
        <v>0.13478301650110153</v>
      </c>
    </row>
  </sheetData>
  <mergeCells count="2">
    <mergeCell ref="A2:B2"/>
    <mergeCell ref="A4:B4"/>
  </mergeCells>
  <dataValidations count="1">
    <dataValidation type="decimal" allowBlank="1" showErrorMessage="1" errorTitle="Ошибка" error="Допускается ввод только неотрицательных чисел!" sqref="D26:D28 B12:C13">
      <formula1>0</formula1>
      <formula2>9.99999999999999E+23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49"/>
  <sheetViews>
    <sheetView workbookViewId="0">
      <selection activeCell="A12" sqref="A12"/>
    </sheetView>
  </sheetViews>
  <sheetFormatPr defaultRowHeight="15" x14ac:dyDescent="0.25"/>
  <cols>
    <col min="1" max="1" width="77.5703125" customWidth="1"/>
    <col min="2" max="2" width="22" style="67" customWidth="1"/>
    <col min="6" max="6" width="22.7109375" customWidth="1"/>
  </cols>
  <sheetData>
    <row r="2" spans="1:6" ht="15.75" x14ac:dyDescent="0.25">
      <c r="A2" s="102" t="s">
        <v>0</v>
      </c>
      <c r="B2" s="102"/>
    </row>
    <row r="3" spans="1:6" ht="15.75" x14ac:dyDescent="0.25">
      <c r="A3" s="75"/>
      <c r="B3" s="66"/>
    </row>
    <row r="4" spans="1:6" ht="15.75" x14ac:dyDescent="0.25">
      <c r="A4" s="102" t="s">
        <v>53</v>
      </c>
      <c r="B4" s="102"/>
    </row>
    <row r="5" spans="1:6" ht="15.75" x14ac:dyDescent="0.25">
      <c r="A5" s="1"/>
    </row>
    <row r="6" spans="1:6" ht="31.5" x14ac:dyDescent="0.25">
      <c r="A6" s="16" t="s">
        <v>1</v>
      </c>
      <c r="B6" s="68">
        <v>75533.845000000001</v>
      </c>
      <c r="F6" s="76"/>
    </row>
    <row r="7" spans="1:6" ht="31.5" x14ac:dyDescent="0.25">
      <c r="A7" s="16" t="s">
        <v>2</v>
      </c>
      <c r="B7" s="68">
        <f>B9+B17+B21+B22+B23+B24+B25+B26+B29+B32+B33</f>
        <v>119841.87732239999</v>
      </c>
      <c r="F7" s="7"/>
    </row>
    <row r="8" spans="1:6" ht="31.5" x14ac:dyDescent="0.25">
      <c r="A8" s="16" t="s">
        <v>3</v>
      </c>
      <c r="B8" s="68">
        <v>0</v>
      </c>
    </row>
    <row r="9" spans="1:6" ht="47.25" x14ac:dyDescent="0.25">
      <c r="A9" s="16" t="s">
        <v>4</v>
      </c>
      <c r="B9" s="68">
        <f>B10+B14</f>
        <v>39929.965322399999</v>
      </c>
    </row>
    <row r="10" spans="1:6" x14ac:dyDescent="0.25">
      <c r="A10" s="11" t="s">
        <v>23</v>
      </c>
      <c r="B10" s="69">
        <f>B11*B12+B13</f>
        <v>39906.010320000001</v>
      </c>
    </row>
    <row r="11" spans="1:6" x14ac:dyDescent="0.25">
      <c r="A11" s="11" t="s">
        <v>24</v>
      </c>
      <c r="B11" s="69">
        <v>7364.4309999999996</v>
      </c>
    </row>
    <row r="12" spans="1:6" x14ac:dyDescent="0.25">
      <c r="A12" s="11" t="s">
        <v>25</v>
      </c>
      <c r="B12" s="69">
        <f>(36728.72662+1012.82864)/B11</f>
        <v>5.1248433531388917</v>
      </c>
      <c r="C12" s="10"/>
    </row>
    <row r="13" spans="1:6" x14ac:dyDescent="0.25">
      <c r="A13" s="11" t="s">
        <v>52</v>
      </c>
      <c r="B13" s="69">
        <v>2164.4550599999998</v>
      </c>
      <c r="C13" s="10"/>
    </row>
    <row r="14" spans="1:6" x14ac:dyDescent="0.25">
      <c r="A14" s="11" t="s">
        <v>27</v>
      </c>
      <c r="B14" s="78">
        <f>B15*B16</f>
        <v>23.955002399999998</v>
      </c>
    </row>
    <row r="15" spans="1:6" x14ac:dyDescent="0.25">
      <c r="A15" s="11" t="s">
        <v>28</v>
      </c>
      <c r="B15" s="69">
        <v>0.98</v>
      </c>
    </row>
    <row r="16" spans="1:6" x14ac:dyDescent="0.25">
      <c r="A16" s="11" t="s">
        <v>29</v>
      </c>
      <c r="B16" s="78">
        <v>24.44388</v>
      </c>
    </row>
    <row r="17" spans="1:6" ht="47.25" x14ac:dyDescent="0.25">
      <c r="A17" s="16" t="s">
        <v>32</v>
      </c>
      <c r="B17" s="68">
        <v>6551.96</v>
      </c>
    </row>
    <row r="18" spans="1:6" x14ac:dyDescent="0.25">
      <c r="A18" s="11" t="s">
        <v>42</v>
      </c>
      <c r="B18" s="69">
        <f>B17/B19</f>
        <v>5.1243715723907934</v>
      </c>
    </row>
    <row r="19" spans="1:6" x14ac:dyDescent="0.25">
      <c r="A19" s="11" t="s">
        <v>43</v>
      </c>
      <c r="B19" s="69">
        <v>1278.588</v>
      </c>
    </row>
    <row r="20" spans="1:6" ht="31.5" x14ac:dyDescent="0.25">
      <c r="A20" s="16" t="s">
        <v>5</v>
      </c>
      <c r="B20" s="70" t="s">
        <v>41</v>
      </c>
    </row>
    <row r="21" spans="1:6" ht="31.5" x14ac:dyDescent="0.25">
      <c r="A21" s="16" t="s">
        <v>30</v>
      </c>
      <c r="B21" s="68">
        <v>93.79</v>
      </c>
    </row>
    <row r="22" spans="1:6" ht="31.5" x14ac:dyDescent="0.25">
      <c r="A22" s="18" t="s">
        <v>31</v>
      </c>
      <c r="B22" s="68">
        <f>9860.43+2969.815</f>
        <v>12830.245000000001</v>
      </c>
    </row>
    <row r="23" spans="1:6" ht="33" customHeight="1" x14ac:dyDescent="0.25">
      <c r="A23" s="16" t="s">
        <v>33</v>
      </c>
      <c r="B23" s="68">
        <v>14058.232</v>
      </c>
    </row>
    <row r="24" spans="1:6" ht="31.5" x14ac:dyDescent="0.25">
      <c r="A24" s="16" t="s">
        <v>34</v>
      </c>
      <c r="B24" s="68">
        <v>9687.4699999999993</v>
      </c>
    </row>
    <row r="25" spans="1:6" ht="47.25" x14ac:dyDescent="0.25">
      <c r="A25" s="16" t="s">
        <v>35</v>
      </c>
      <c r="B25" s="68">
        <v>2594.2600000000002</v>
      </c>
    </row>
    <row r="26" spans="1:6" ht="31.5" x14ac:dyDescent="0.25">
      <c r="A26" s="16" t="s">
        <v>36</v>
      </c>
      <c r="B26" s="68">
        <f>2484.83-B21</f>
        <v>2391.04</v>
      </c>
      <c r="D26" s="24"/>
    </row>
    <row r="27" spans="1:6" x14ac:dyDescent="0.25">
      <c r="A27" s="19" t="s">
        <v>38</v>
      </c>
      <c r="B27" s="69">
        <v>0</v>
      </c>
      <c r="D27" s="24"/>
      <c r="F27" s="7"/>
    </row>
    <row r="28" spans="1:6" x14ac:dyDescent="0.25">
      <c r="A28" s="19" t="s">
        <v>39</v>
      </c>
      <c r="B28" s="69">
        <v>0</v>
      </c>
      <c r="D28" s="24"/>
    </row>
    <row r="29" spans="1:6" ht="31.5" x14ac:dyDescent="0.25">
      <c r="A29" s="16" t="s">
        <v>37</v>
      </c>
      <c r="B29" s="68">
        <f>18567.867-B23</f>
        <v>4509.6349999999984</v>
      </c>
      <c r="D29" s="23"/>
    </row>
    <row r="30" spans="1:6" x14ac:dyDescent="0.25">
      <c r="A30" s="19" t="s">
        <v>38</v>
      </c>
      <c r="B30" s="71">
        <v>115.68</v>
      </c>
      <c r="D30" s="23"/>
    </row>
    <row r="31" spans="1:6" x14ac:dyDescent="0.25">
      <c r="A31" s="19" t="s">
        <v>39</v>
      </c>
      <c r="B31" s="71">
        <v>0</v>
      </c>
      <c r="D31" s="23"/>
    </row>
    <row r="32" spans="1:6" ht="94.5" x14ac:dyDescent="0.25">
      <c r="A32" s="16" t="s">
        <v>40</v>
      </c>
      <c r="B32" s="68">
        <v>27150.98</v>
      </c>
    </row>
    <row r="33" spans="1:2" ht="47.25" x14ac:dyDescent="0.25">
      <c r="A33" s="16" t="s">
        <v>6</v>
      </c>
      <c r="B33" s="68">
        <v>44.3</v>
      </c>
    </row>
    <row r="34" spans="1:2" ht="60" x14ac:dyDescent="0.25">
      <c r="A34" s="2" t="s">
        <v>7</v>
      </c>
      <c r="B34" s="69">
        <v>0</v>
      </c>
    </row>
    <row r="35" spans="1:2" ht="45" x14ac:dyDescent="0.25">
      <c r="A35" s="2" t="s">
        <v>8</v>
      </c>
      <c r="B35" s="69">
        <v>14528.67</v>
      </c>
    </row>
    <row r="36" spans="1:2" ht="30" x14ac:dyDescent="0.25">
      <c r="A36" s="2" t="s">
        <v>9</v>
      </c>
      <c r="B36" s="69">
        <v>-22001.63</v>
      </c>
    </row>
    <row r="37" spans="1:2" ht="72" x14ac:dyDescent="0.25">
      <c r="A37" s="2" t="s">
        <v>10</v>
      </c>
      <c r="B37" s="72" t="s">
        <v>50</v>
      </c>
    </row>
    <row r="38" spans="1:2" ht="45" x14ac:dyDescent="0.25">
      <c r="A38" s="2" t="s">
        <v>11</v>
      </c>
      <c r="B38" s="69">
        <v>51.3</v>
      </c>
    </row>
    <row r="39" spans="1:2" ht="30" x14ac:dyDescent="0.25">
      <c r="A39" s="2" t="s">
        <v>12</v>
      </c>
      <c r="B39" s="69">
        <v>44.59</v>
      </c>
    </row>
    <row r="40" spans="1:2" ht="45" x14ac:dyDescent="0.25">
      <c r="A40" s="2" t="s">
        <v>13</v>
      </c>
      <c r="B40" s="69">
        <v>53.548876999999997</v>
      </c>
    </row>
    <row r="41" spans="1:2" ht="45" x14ac:dyDescent="0.25">
      <c r="A41" s="2" t="s">
        <v>14</v>
      </c>
      <c r="B41" s="69">
        <v>0</v>
      </c>
    </row>
    <row r="42" spans="1:2" ht="75" x14ac:dyDescent="0.25">
      <c r="A42" s="2" t="s">
        <v>15</v>
      </c>
      <c r="B42" s="69">
        <v>40.093339999999998</v>
      </c>
    </row>
    <row r="43" spans="1:2" ht="45" x14ac:dyDescent="0.25">
      <c r="A43" s="2" t="s">
        <v>16</v>
      </c>
      <c r="B43" s="69">
        <v>192950000</v>
      </c>
    </row>
    <row r="44" spans="1:2" ht="30" x14ac:dyDescent="0.25">
      <c r="A44" s="2" t="s">
        <v>17</v>
      </c>
      <c r="B44" s="69">
        <v>2.9050259999999999</v>
      </c>
    </row>
    <row r="45" spans="1:2" ht="30" x14ac:dyDescent="0.25">
      <c r="A45" s="2" t="s">
        <v>18</v>
      </c>
      <c r="B45" s="69">
        <v>25</v>
      </c>
    </row>
    <row r="46" spans="1:2" ht="30" x14ac:dyDescent="0.25">
      <c r="A46" s="2" t="s">
        <v>19</v>
      </c>
      <c r="B46" s="69">
        <v>36</v>
      </c>
    </row>
    <row r="47" spans="1:2" ht="60" x14ac:dyDescent="0.25">
      <c r="A47" s="2" t="s">
        <v>20</v>
      </c>
      <c r="B47" s="69">
        <f>8601.069/(B40-1.37698)</f>
        <v>164.86019283523467</v>
      </c>
    </row>
    <row r="48" spans="1:2" ht="60" x14ac:dyDescent="0.25">
      <c r="A48" s="2" t="s">
        <v>22</v>
      </c>
      <c r="B48" s="74">
        <f>B19/B40/1000</f>
        <v>2.3877027337099899E-2</v>
      </c>
    </row>
    <row r="49" spans="1:2" ht="60" x14ac:dyDescent="0.25">
      <c r="A49" s="2" t="s">
        <v>21</v>
      </c>
      <c r="B49" s="74">
        <f>7823/(B40*1000)</f>
        <v>0.14609083211959795</v>
      </c>
    </row>
  </sheetData>
  <mergeCells count="2">
    <mergeCell ref="A2:B2"/>
    <mergeCell ref="A4:B4"/>
  </mergeCells>
  <dataValidations count="1">
    <dataValidation type="decimal" allowBlank="1" showErrorMessage="1" errorTitle="Ошибка" error="Допускается ввод только неотрицательных чисел!" sqref="D26:D28 B12:C13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49"/>
  <sheetViews>
    <sheetView topLeftCell="A34" zoomScaleNormal="100" workbookViewId="0">
      <selection activeCell="D9" sqref="D9"/>
    </sheetView>
  </sheetViews>
  <sheetFormatPr defaultRowHeight="15" x14ac:dyDescent="0.25"/>
  <cols>
    <col min="1" max="1" width="77.5703125" customWidth="1"/>
    <col min="2" max="2" width="22" style="67" customWidth="1"/>
  </cols>
  <sheetData>
    <row r="2" spans="1:3" ht="15.75" x14ac:dyDescent="0.25">
      <c r="A2" s="102" t="s">
        <v>0</v>
      </c>
      <c r="B2" s="102"/>
    </row>
    <row r="3" spans="1:3" ht="15.75" x14ac:dyDescent="0.25">
      <c r="A3" s="65"/>
      <c r="B3" s="66"/>
    </row>
    <row r="4" spans="1:3" ht="15.75" x14ac:dyDescent="0.25">
      <c r="A4" s="102" t="s">
        <v>51</v>
      </c>
      <c r="B4" s="102"/>
    </row>
    <row r="5" spans="1:3" ht="15.75" x14ac:dyDescent="0.25">
      <c r="A5" s="1"/>
    </row>
    <row r="6" spans="1:3" ht="31.5" x14ac:dyDescent="0.25">
      <c r="A6" s="16" t="s">
        <v>1</v>
      </c>
      <c r="B6" s="68">
        <v>75279.22</v>
      </c>
    </row>
    <row r="7" spans="1:3" ht="31.5" x14ac:dyDescent="0.25">
      <c r="A7" s="16" t="s">
        <v>2</v>
      </c>
      <c r="B7" s="68">
        <f>B9+B17+B21+B22+B23+B24+B25+B26+B29+B32+B33</f>
        <v>103973.98155</v>
      </c>
    </row>
    <row r="8" spans="1:3" ht="31.5" x14ac:dyDescent="0.25">
      <c r="A8" s="16" t="s">
        <v>3</v>
      </c>
      <c r="B8" s="68">
        <v>0</v>
      </c>
    </row>
    <row r="9" spans="1:3" ht="47.25" x14ac:dyDescent="0.25">
      <c r="A9" s="16" t="s">
        <v>4</v>
      </c>
      <c r="B9" s="68">
        <f>B10+B14</f>
        <v>39082.048549999992</v>
      </c>
    </row>
    <row r="10" spans="1:3" x14ac:dyDescent="0.25">
      <c r="A10" s="11" t="s">
        <v>23</v>
      </c>
      <c r="B10" s="69">
        <f>B11*B12+B13</f>
        <v>39082.048549999992</v>
      </c>
    </row>
    <row r="11" spans="1:3" x14ac:dyDescent="0.25">
      <c r="A11" s="11" t="s">
        <v>24</v>
      </c>
      <c r="B11" s="69">
        <v>7403.2190000000001</v>
      </c>
    </row>
    <row r="12" spans="1:3" x14ac:dyDescent="0.25">
      <c r="A12" s="11" t="s">
        <v>25</v>
      </c>
      <c r="B12" s="69">
        <f>36923708.55/7403.219/1000</f>
        <v>4.9875207730583133</v>
      </c>
      <c r="C12" s="10"/>
    </row>
    <row r="13" spans="1:3" x14ac:dyDescent="0.25">
      <c r="A13" s="11" t="s">
        <v>52</v>
      </c>
      <c r="B13" s="69">
        <v>2158.34</v>
      </c>
      <c r="C13" s="10"/>
    </row>
    <row r="14" spans="1:3" x14ac:dyDescent="0.25">
      <c r="A14" s="11" t="s">
        <v>27</v>
      </c>
      <c r="B14" s="73">
        <v>0</v>
      </c>
    </row>
    <row r="15" spans="1:3" x14ac:dyDescent="0.25">
      <c r="A15" s="11" t="s">
        <v>28</v>
      </c>
      <c r="B15" s="69">
        <v>0</v>
      </c>
    </row>
    <row r="16" spans="1:3" x14ac:dyDescent="0.25">
      <c r="A16" s="11" t="s">
        <v>29</v>
      </c>
      <c r="B16" s="73">
        <v>0</v>
      </c>
    </row>
    <row r="17" spans="1:4" ht="47.25" x14ac:dyDescent="0.25">
      <c r="A17" s="16" t="s">
        <v>32</v>
      </c>
      <c r="B17" s="68">
        <v>4145.5150000000003</v>
      </c>
    </row>
    <row r="18" spans="1:4" x14ac:dyDescent="0.25">
      <c r="A18" s="11" t="s">
        <v>42</v>
      </c>
      <c r="B18" s="69">
        <f>B17/B19</f>
        <v>3.4701275458740755</v>
      </c>
    </row>
    <row r="19" spans="1:4" x14ac:dyDescent="0.25">
      <c r="A19" s="11" t="s">
        <v>43</v>
      </c>
      <c r="B19" s="69">
        <v>1194.6289999999999</v>
      </c>
    </row>
    <row r="20" spans="1:4" ht="31.5" x14ac:dyDescent="0.25">
      <c r="A20" s="16" t="s">
        <v>5</v>
      </c>
      <c r="B20" s="70" t="s">
        <v>41</v>
      </c>
    </row>
    <row r="21" spans="1:4" ht="31.5" x14ac:dyDescent="0.25">
      <c r="A21" s="16" t="s">
        <v>30</v>
      </c>
      <c r="B21" s="68">
        <v>6.5549999999999997</v>
      </c>
    </row>
    <row r="22" spans="1:4" ht="31.5" x14ac:dyDescent="0.25">
      <c r="A22" s="18" t="s">
        <v>31</v>
      </c>
      <c r="B22" s="68">
        <v>12112.973</v>
      </c>
    </row>
    <row r="23" spans="1:4" ht="33" customHeight="1" x14ac:dyDescent="0.25">
      <c r="A23" s="16" t="s">
        <v>33</v>
      </c>
      <c r="B23" s="68">
        <v>15910.12</v>
      </c>
    </row>
    <row r="24" spans="1:4" ht="31.5" x14ac:dyDescent="0.25">
      <c r="A24" s="16" t="s">
        <v>34</v>
      </c>
      <c r="B24" s="68">
        <v>9622.84</v>
      </c>
    </row>
    <row r="25" spans="1:4" ht="47.25" x14ac:dyDescent="0.25">
      <c r="A25" s="16" t="s">
        <v>35</v>
      </c>
      <c r="B25" s="68">
        <v>8666.1299999999992</v>
      </c>
    </row>
    <row r="26" spans="1:4" ht="31.5" x14ac:dyDescent="0.25">
      <c r="A26" s="16" t="s">
        <v>36</v>
      </c>
      <c r="B26" s="68">
        <v>2324.48</v>
      </c>
      <c r="D26" s="24"/>
    </row>
    <row r="27" spans="1:4" x14ac:dyDescent="0.25">
      <c r="A27" s="19" t="s">
        <v>38</v>
      </c>
      <c r="B27" s="69">
        <v>0</v>
      </c>
      <c r="D27" s="24"/>
    </row>
    <row r="28" spans="1:4" x14ac:dyDescent="0.25">
      <c r="A28" s="19" t="s">
        <v>39</v>
      </c>
      <c r="B28" s="69">
        <v>0</v>
      </c>
      <c r="D28" s="24"/>
    </row>
    <row r="29" spans="1:4" ht="31.5" x14ac:dyDescent="0.25">
      <c r="A29" s="16" t="s">
        <v>37</v>
      </c>
      <c r="B29" s="68">
        <f>21917-B23</f>
        <v>6006.8799999999992</v>
      </c>
      <c r="D29" s="23"/>
    </row>
    <row r="30" spans="1:4" x14ac:dyDescent="0.25">
      <c r="A30" s="19" t="s">
        <v>38</v>
      </c>
      <c r="B30" s="71">
        <f>79.065+17.199</f>
        <v>96.263999999999996</v>
      </c>
      <c r="D30" s="23"/>
    </row>
    <row r="31" spans="1:4" x14ac:dyDescent="0.25">
      <c r="A31" s="19" t="s">
        <v>39</v>
      </c>
      <c r="B31" s="71">
        <v>0</v>
      </c>
      <c r="D31" s="23"/>
    </row>
    <row r="32" spans="1:4" ht="94.5" x14ac:dyDescent="0.25">
      <c r="A32" s="16" t="s">
        <v>40</v>
      </c>
      <c r="B32" s="68">
        <v>6096.44</v>
      </c>
    </row>
    <row r="33" spans="1:2" ht="47.25" x14ac:dyDescent="0.25">
      <c r="A33" s="16" t="s">
        <v>6</v>
      </c>
      <c r="B33" s="68">
        <v>0</v>
      </c>
    </row>
    <row r="34" spans="1:2" ht="60" x14ac:dyDescent="0.25">
      <c r="A34" s="2" t="s">
        <v>7</v>
      </c>
      <c r="B34" s="69">
        <v>0</v>
      </c>
    </row>
    <row r="35" spans="1:2" ht="45" x14ac:dyDescent="0.25">
      <c r="A35" s="2" t="s">
        <v>8</v>
      </c>
      <c r="B35" s="69">
        <v>0</v>
      </c>
    </row>
    <row r="36" spans="1:2" ht="30" x14ac:dyDescent="0.25">
      <c r="A36" s="2" t="s">
        <v>9</v>
      </c>
      <c r="B36" s="69">
        <v>-8945.2099999999991</v>
      </c>
    </row>
    <row r="37" spans="1:2" ht="72" x14ac:dyDescent="0.25">
      <c r="A37" s="2" t="s">
        <v>10</v>
      </c>
      <c r="B37" s="72" t="s">
        <v>50</v>
      </c>
    </row>
    <row r="38" spans="1:2" ht="45" x14ac:dyDescent="0.25">
      <c r="A38" s="2" t="s">
        <v>11</v>
      </c>
      <c r="B38" s="69">
        <v>47.94</v>
      </c>
    </row>
    <row r="39" spans="1:2" ht="30" x14ac:dyDescent="0.25">
      <c r="A39" s="2" t="s">
        <v>12</v>
      </c>
      <c r="B39" s="69">
        <v>44.7</v>
      </c>
    </row>
    <row r="40" spans="1:2" ht="45" x14ac:dyDescent="0.25">
      <c r="A40" s="2" t="s">
        <v>13</v>
      </c>
      <c r="B40" s="69">
        <v>54.284449000000002</v>
      </c>
    </row>
    <row r="41" spans="1:2" ht="45" x14ac:dyDescent="0.25">
      <c r="A41" s="2" t="s">
        <v>14</v>
      </c>
      <c r="B41" s="69">
        <v>0</v>
      </c>
    </row>
    <row r="42" spans="1:2" ht="75" x14ac:dyDescent="0.25">
      <c r="A42" s="2" t="s">
        <v>15</v>
      </c>
      <c r="B42" s="69">
        <v>40.405537000000002</v>
      </c>
    </row>
    <row r="43" spans="1:2" ht="45" x14ac:dyDescent="0.25">
      <c r="A43" s="2" t="s">
        <v>16</v>
      </c>
      <c r="B43" s="69">
        <v>192950000</v>
      </c>
    </row>
    <row r="44" spans="1:2" ht="30" x14ac:dyDescent="0.25">
      <c r="A44" s="2" t="s">
        <v>17</v>
      </c>
      <c r="B44" s="69">
        <v>2.8779949999999999</v>
      </c>
    </row>
    <row r="45" spans="1:2" ht="30" x14ac:dyDescent="0.25">
      <c r="A45" s="2" t="s">
        <v>18</v>
      </c>
      <c r="B45" s="69">
        <v>24</v>
      </c>
    </row>
    <row r="46" spans="1:2" ht="30" x14ac:dyDescent="0.25">
      <c r="A46" s="2" t="s">
        <v>19</v>
      </c>
      <c r="B46" s="69">
        <v>36</v>
      </c>
    </row>
    <row r="47" spans="1:2" ht="60" x14ac:dyDescent="0.25">
      <c r="A47" s="2" t="s">
        <v>20</v>
      </c>
      <c r="B47" s="69">
        <f>8629.249/(B40-1.516387)</f>
        <v>163.53166428587048</v>
      </c>
    </row>
    <row r="48" spans="1:2" ht="60" x14ac:dyDescent="0.25">
      <c r="A48" s="2" t="s">
        <v>22</v>
      </c>
      <c r="B48" s="74">
        <f>B19/B40/1000</f>
        <v>2.2006836617241888E-2</v>
      </c>
    </row>
    <row r="49" spans="1:2" ht="60" x14ac:dyDescent="0.25">
      <c r="A49" s="2" t="s">
        <v>21</v>
      </c>
      <c r="B49" s="74">
        <f>4489/(B40*1000)</f>
        <v>8.2694032686967123E-2</v>
      </c>
    </row>
  </sheetData>
  <mergeCells count="2">
    <mergeCell ref="A2:B2"/>
    <mergeCell ref="A4:B4"/>
  </mergeCells>
  <dataValidations count="1">
    <dataValidation type="decimal" allowBlank="1" showErrorMessage="1" errorTitle="Ошибка" error="Допускается ввод только неотрицательных чисел!" sqref="D26:D28 B12:C13">
      <formula1>0</formula1>
      <formula2>9.99999999999999E+23</formula2>
    </dataValidation>
  </dataValidation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49"/>
  <sheetViews>
    <sheetView topLeftCell="A34" workbookViewId="0">
      <selection activeCell="B35" sqref="B35"/>
    </sheetView>
  </sheetViews>
  <sheetFormatPr defaultRowHeight="15" x14ac:dyDescent="0.25"/>
  <cols>
    <col min="1" max="1" width="77.5703125" customWidth="1"/>
    <col min="2" max="2" width="23.7109375" customWidth="1"/>
    <col min="4" max="4" width="20.140625" customWidth="1"/>
    <col min="5" max="5" width="60.5703125" customWidth="1"/>
    <col min="6" max="6" width="22" customWidth="1"/>
  </cols>
  <sheetData>
    <row r="2" spans="1:5" ht="30.75" customHeight="1" x14ac:dyDescent="0.25">
      <c r="A2" s="102" t="s">
        <v>0</v>
      </c>
      <c r="B2" s="102"/>
    </row>
    <row r="3" spans="1:5" ht="15.75" x14ac:dyDescent="0.25">
      <c r="A3" s="4"/>
      <c r="B3" s="4"/>
    </row>
    <row r="4" spans="1:5" ht="15.75" x14ac:dyDescent="0.25">
      <c r="A4" s="102" t="s">
        <v>45</v>
      </c>
      <c r="B4" s="102"/>
    </row>
    <row r="5" spans="1:5" ht="15.75" x14ac:dyDescent="0.25">
      <c r="A5" s="1"/>
    </row>
    <row r="6" spans="1:5" ht="31.5" x14ac:dyDescent="0.25">
      <c r="A6" s="16" t="s">
        <v>1</v>
      </c>
      <c r="B6" s="15">
        <f>96931602.16/1.18/1000</f>
        <v>82145.42555932203</v>
      </c>
    </row>
    <row r="7" spans="1:5" ht="31.5" x14ac:dyDescent="0.25">
      <c r="A7" s="16" t="s">
        <v>2</v>
      </c>
      <c r="B7" s="27">
        <f>B9+B17+B21+B22+B23+B24+B25+B26+B29+B32+B33</f>
        <v>107427.95300000001</v>
      </c>
      <c r="D7" s="6"/>
      <c r="E7" s="25"/>
    </row>
    <row r="8" spans="1:5" ht="31.5" x14ac:dyDescent="0.25">
      <c r="A8" s="16" t="s">
        <v>3</v>
      </c>
      <c r="B8" s="15">
        <v>0</v>
      </c>
      <c r="D8" s="7"/>
    </row>
    <row r="9" spans="1:5" ht="47.25" x14ac:dyDescent="0.25">
      <c r="A9" s="16" t="s">
        <v>4</v>
      </c>
      <c r="B9" s="15">
        <f>B10+B14</f>
        <v>41251.896999999997</v>
      </c>
    </row>
    <row r="10" spans="1:5" x14ac:dyDescent="0.25">
      <c r="A10" s="11" t="s">
        <v>23</v>
      </c>
      <c r="B10" s="12">
        <v>41249.936999999998</v>
      </c>
    </row>
    <row r="11" spans="1:5" x14ac:dyDescent="0.25">
      <c r="A11" s="11" t="s">
        <v>24</v>
      </c>
      <c r="B11" s="12">
        <v>8081.6310000000003</v>
      </c>
    </row>
    <row r="12" spans="1:5" x14ac:dyDescent="0.25">
      <c r="A12" s="11" t="s">
        <v>25</v>
      </c>
      <c r="B12" s="12">
        <v>4.8257774946666085</v>
      </c>
      <c r="C12" s="10"/>
    </row>
    <row r="13" spans="1:5" x14ac:dyDescent="0.25">
      <c r="A13" s="11" t="s">
        <v>26</v>
      </c>
      <c r="B13" s="12">
        <v>2249.7840000000001</v>
      </c>
      <c r="C13" s="10"/>
    </row>
    <row r="14" spans="1:5" x14ac:dyDescent="0.25">
      <c r="A14" s="11" t="s">
        <v>27</v>
      </c>
      <c r="B14" s="14">
        <v>1.96</v>
      </c>
    </row>
    <row r="15" spans="1:5" x14ac:dyDescent="0.25">
      <c r="A15" s="11" t="s">
        <v>28</v>
      </c>
      <c r="B15" s="12">
        <v>0.08</v>
      </c>
    </row>
    <row r="16" spans="1:5" x14ac:dyDescent="0.25">
      <c r="A16" s="11" t="s">
        <v>29</v>
      </c>
      <c r="B16" s="14">
        <v>24.5</v>
      </c>
    </row>
    <row r="17" spans="1:7" ht="47.25" x14ac:dyDescent="0.25">
      <c r="A17" s="16" t="s">
        <v>32</v>
      </c>
      <c r="B17" s="15">
        <v>4132.5</v>
      </c>
    </row>
    <row r="18" spans="1:7" x14ac:dyDescent="0.25">
      <c r="A18" s="11" t="s">
        <v>42</v>
      </c>
      <c r="B18" s="12">
        <v>3.6786109137909855</v>
      </c>
    </row>
    <row r="19" spans="1:7" x14ac:dyDescent="0.25">
      <c r="A19" s="11" t="s">
        <v>43</v>
      </c>
      <c r="B19" s="12">
        <v>1123.386</v>
      </c>
    </row>
    <row r="20" spans="1:7" ht="31.5" x14ac:dyDescent="0.25">
      <c r="A20" s="16" t="s">
        <v>5</v>
      </c>
      <c r="B20" s="43" t="s">
        <v>41</v>
      </c>
    </row>
    <row r="21" spans="1:7" ht="31.5" x14ac:dyDescent="0.25">
      <c r="A21" s="16" t="s">
        <v>30</v>
      </c>
      <c r="B21" s="15">
        <v>26.94</v>
      </c>
    </row>
    <row r="22" spans="1:7" ht="31.5" x14ac:dyDescent="0.25">
      <c r="A22" s="18" t="s">
        <v>31</v>
      </c>
      <c r="B22" s="15">
        <f>8734.78+2647.64</f>
        <v>11382.42</v>
      </c>
    </row>
    <row r="23" spans="1:7" ht="33" customHeight="1" x14ac:dyDescent="0.25">
      <c r="A23" s="16" t="s">
        <v>33</v>
      </c>
      <c r="B23" s="15">
        <f>10723.5+3151.23</f>
        <v>13874.73</v>
      </c>
    </row>
    <row r="24" spans="1:7" ht="31.5" x14ac:dyDescent="0.25">
      <c r="A24" s="16" t="s">
        <v>34</v>
      </c>
      <c r="B24" s="15">
        <v>10456.049999999999</v>
      </c>
    </row>
    <row r="25" spans="1:7" ht="47.25" x14ac:dyDescent="0.25">
      <c r="A25" s="16" t="s">
        <v>35</v>
      </c>
      <c r="B25" s="15">
        <v>11875.7</v>
      </c>
    </row>
    <row r="26" spans="1:7" ht="31.5" x14ac:dyDescent="0.25">
      <c r="A26" s="16" t="s">
        <v>36</v>
      </c>
      <c r="B26" s="15">
        <v>311.77</v>
      </c>
      <c r="E26" s="20"/>
      <c r="F26" s="21"/>
      <c r="G26" s="24"/>
    </row>
    <row r="27" spans="1:7" x14ac:dyDescent="0.25">
      <c r="A27" s="19" t="s">
        <v>38</v>
      </c>
      <c r="B27" s="12">
        <v>47.03</v>
      </c>
      <c r="E27" s="22"/>
      <c r="F27" s="21"/>
      <c r="G27" s="24"/>
    </row>
    <row r="28" spans="1:7" x14ac:dyDescent="0.25">
      <c r="A28" s="19" t="s">
        <v>39</v>
      </c>
      <c r="B28" s="12">
        <v>0</v>
      </c>
      <c r="E28" s="22"/>
      <c r="F28" s="21"/>
      <c r="G28" s="24"/>
    </row>
    <row r="29" spans="1:7" ht="31.5" x14ac:dyDescent="0.25">
      <c r="A29" s="16" t="s">
        <v>37</v>
      </c>
      <c r="B29" s="15">
        <v>4732.9059999999999</v>
      </c>
      <c r="E29" s="23"/>
      <c r="F29" s="23"/>
      <c r="G29" s="23"/>
    </row>
    <row r="30" spans="1:7" x14ac:dyDescent="0.25">
      <c r="A30" s="19" t="s">
        <v>38</v>
      </c>
      <c r="B30" s="17">
        <v>98.15</v>
      </c>
      <c r="E30" s="23"/>
      <c r="F30" s="23"/>
      <c r="G30" s="23"/>
    </row>
    <row r="31" spans="1:7" x14ac:dyDescent="0.25">
      <c r="A31" s="19" t="s">
        <v>39</v>
      </c>
      <c r="B31" s="17">
        <v>0</v>
      </c>
      <c r="E31" s="23"/>
      <c r="F31" s="23"/>
      <c r="G31" s="23"/>
    </row>
    <row r="32" spans="1:7" ht="94.5" x14ac:dyDescent="0.25">
      <c r="A32" s="16" t="s">
        <v>40</v>
      </c>
      <c r="B32" s="15">
        <v>7119.57</v>
      </c>
    </row>
    <row r="33" spans="1:2" ht="47.25" x14ac:dyDescent="0.25">
      <c r="A33" s="16" t="s">
        <v>6</v>
      </c>
      <c r="B33" s="15">
        <v>2263.4700000000003</v>
      </c>
    </row>
    <row r="34" spans="1:2" ht="60" x14ac:dyDescent="0.25">
      <c r="A34" s="2" t="s">
        <v>7</v>
      </c>
      <c r="B34" s="12">
        <v>0</v>
      </c>
    </row>
    <row r="35" spans="1:2" ht="45" x14ac:dyDescent="0.25">
      <c r="A35" s="2" t="s">
        <v>8</v>
      </c>
      <c r="B35" s="12">
        <v>-545.245</v>
      </c>
    </row>
    <row r="36" spans="1:2" ht="30" x14ac:dyDescent="0.25">
      <c r="A36" s="2" t="s">
        <v>9</v>
      </c>
      <c r="B36" s="12">
        <v>-7320.1</v>
      </c>
    </row>
    <row r="37" spans="1:2" ht="60" x14ac:dyDescent="0.25">
      <c r="A37" s="2" t="s">
        <v>10</v>
      </c>
      <c r="B37" s="58" t="s">
        <v>50</v>
      </c>
    </row>
    <row r="38" spans="1:2" ht="45" x14ac:dyDescent="0.25">
      <c r="A38" s="2" t="s">
        <v>11</v>
      </c>
      <c r="B38" s="12">
        <v>47.94</v>
      </c>
    </row>
    <row r="39" spans="1:2" ht="30" x14ac:dyDescent="0.25">
      <c r="A39" s="2" t="s">
        <v>12</v>
      </c>
      <c r="B39" s="13">
        <v>36.94</v>
      </c>
    </row>
    <row r="40" spans="1:2" ht="45" x14ac:dyDescent="0.25">
      <c r="A40" s="2" t="s">
        <v>13</v>
      </c>
      <c r="B40" s="12">
        <v>59.322651999999998</v>
      </c>
    </row>
    <row r="41" spans="1:2" ht="45" x14ac:dyDescent="0.25">
      <c r="A41" s="2" t="s">
        <v>14</v>
      </c>
      <c r="B41" s="12">
        <v>0</v>
      </c>
    </row>
    <row r="42" spans="1:2" ht="75" x14ac:dyDescent="0.25">
      <c r="A42" s="2" t="s">
        <v>15</v>
      </c>
      <c r="B42" s="12">
        <v>45.608846999999997</v>
      </c>
    </row>
    <row r="43" spans="1:2" ht="45" x14ac:dyDescent="0.25">
      <c r="A43" s="2" t="s">
        <v>16</v>
      </c>
      <c r="B43" s="12">
        <v>192950000</v>
      </c>
    </row>
    <row r="44" spans="1:2" ht="30" x14ac:dyDescent="0.25">
      <c r="A44" s="2" t="s">
        <v>17</v>
      </c>
      <c r="B44" s="12">
        <v>2.5956549999999998</v>
      </c>
    </row>
    <row r="45" spans="1:2" ht="30" x14ac:dyDescent="0.25">
      <c r="A45" s="2" t="s">
        <v>18</v>
      </c>
      <c r="B45" s="12">
        <v>23</v>
      </c>
    </row>
    <row r="46" spans="1:2" ht="30" x14ac:dyDescent="0.25">
      <c r="A46" s="2" t="s">
        <v>19</v>
      </c>
      <c r="B46" s="12">
        <v>39</v>
      </c>
    </row>
    <row r="47" spans="1:2" ht="60" x14ac:dyDescent="0.25">
      <c r="A47" s="2" t="s">
        <v>20</v>
      </c>
      <c r="B47" s="12">
        <v>162.88599615157364</v>
      </c>
    </row>
    <row r="48" spans="1:2" ht="60" x14ac:dyDescent="0.25">
      <c r="A48" s="2" t="s">
        <v>22</v>
      </c>
      <c r="B48" s="26">
        <f>B19/B40/1000</f>
        <v>1.8936880974235609E-2</v>
      </c>
    </row>
    <row r="49" spans="1:2" ht="60" x14ac:dyDescent="0.25">
      <c r="A49" s="2" t="s">
        <v>21</v>
      </c>
      <c r="B49" s="26">
        <f>4953/(B40*1000)</f>
        <v>8.3492558626677718E-2</v>
      </c>
    </row>
  </sheetData>
  <mergeCells count="2">
    <mergeCell ref="A2:B2"/>
    <mergeCell ref="A4:B4"/>
  </mergeCells>
  <dataValidations count="1">
    <dataValidation type="decimal" allowBlank="1" showErrorMessage="1" errorTitle="Ошибка" error="Допускается ввод только неотрицательных чисел!" sqref="B12:C13 G26:G28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49"/>
  <sheetViews>
    <sheetView topLeftCell="A40" workbookViewId="0">
      <selection activeCell="B35" sqref="B35"/>
    </sheetView>
  </sheetViews>
  <sheetFormatPr defaultRowHeight="15" x14ac:dyDescent="0.25"/>
  <cols>
    <col min="1" max="1" width="77.5703125" customWidth="1"/>
    <col min="2" max="2" width="23.7109375" customWidth="1"/>
    <col min="4" max="4" width="20.140625" customWidth="1"/>
    <col min="5" max="5" width="60.5703125" customWidth="1"/>
    <col min="6" max="6" width="22" customWidth="1"/>
  </cols>
  <sheetData>
    <row r="2" spans="1:7" ht="33.75" customHeight="1" x14ac:dyDescent="0.25">
      <c r="A2" s="102" t="s">
        <v>0</v>
      </c>
      <c r="B2" s="102"/>
    </row>
    <row r="3" spans="1:7" ht="15.75" x14ac:dyDescent="0.25">
      <c r="A3" s="3"/>
      <c r="B3" s="3"/>
    </row>
    <row r="4" spans="1:7" ht="15.75" x14ac:dyDescent="0.25">
      <c r="A4" s="102" t="s">
        <v>47</v>
      </c>
      <c r="B4" s="102"/>
    </row>
    <row r="5" spans="1:7" ht="15.75" x14ac:dyDescent="0.25">
      <c r="A5" s="1"/>
    </row>
    <row r="6" spans="1:7" ht="31.5" x14ac:dyDescent="0.25">
      <c r="A6" s="16" t="s">
        <v>1</v>
      </c>
      <c r="B6" s="37">
        <f>92193860.75/1.18/1000</f>
        <v>78130.3904661017</v>
      </c>
      <c r="D6" s="28"/>
    </row>
    <row r="7" spans="1:7" ht="31.5" x14ac:dyDescent="0.25">
      <c r="A7" s="16" t="s">
        <v>2</v>
      </c>
      <c r="B7" s="38">
        <f>B9+B17+B21+B22+B23+B24+B25+B26+B29+B32+B33</f>
        <v>115438.67082000001</v>
      </c>
      <c r="D7" s="6"/>
      <c r="E7" s="25"/>
    </row>
    <row r="8" spans="1:7" ht="31.5" x14ac:dyDescent="0.25">
      <c r="A8" s="16" t="s">
        <v>3</v>
      </c>
      <c r="B8" s="37">
        <v>0</v>
      </c>
      <c r="D8" s="7"/>
      <c r="E8" s="30"/>
      <c r="F8" s="31"/>
      <c r="G8" s="32"/>
    </row>
    <row r="9" spans="1:7" ht="47.25" x14ac:dyDescent="0.25">
      <c r="A9" s="16" t="s">
        <v>4</v>
      </c>
      <c r="B9" s="37">
        <f>B10+B14</f>
        <v>45169.457820000003</v>
      </c>
      <c r="D9" s="36"/>
      <c r="E9" s="33"/>
      <c r="F9" s="34"/>
      <c r="G9" s="24"/>
    </row>
    <row r="10" spans="1:7" x14ac:dyDescent="0.25">
      <c r="A10" s="11" t="s">
        <v>23</v>
      </c>
      <c r="B10" s="29">
        <f>B11*B12+B13</f>
        <v>45142.857000000004</v>
      </c>
      <c r="D10" s="36"/>
      <c r="E10" s="33"/>
      <c r="F10" s="31"/>
      <c r="G10" s="24"/>
    </row>
    <row r="11" spans="1:7" x14ac:dyDescent="0.25">
      <c r="A11" s="11" t="s">
        <v>24</v>
      </c>
      <c r="B11" s="39">
        <v>8976.0830000000005</v>
      </c>
      <c r="D11" s="36"/>
      <c r="E11" s="33"/>
      <c r="F11" s="31"/>
      <c r="G11" s="24"/>
    </row>
    <row r="12" spans="1:7" x14ac:dyDescent="0.25">
      <c r="A12" s="11" t="s">
        <v>25</v>
      </c>
      <c r="B12" s="39">
        <v>4.7544613836569916</v>
      </c>
      <c r="C12" s="10"/>
      <c r="D12" s="36"/>
      <c r="E12" s="35"/>
      <c r="F12" s="35"/>
      <c r="G12" s="35"/>
    </row>
    <row r="13" spans="1:7" x14ac:dyDescent="0.25">
      <c r="A13" s="11" t="s">
        <v>26</v>
      </c>
      <c r="B13" s="39">
        <v>2466.4169999999999</v>
      </c>
      <c r="C13" s="10"/>
      <c r="D13" s="36"/>
    </row>
    <row r="14" spans="1:7" x14ac:dyDescent="0.25">
      <c r="A14" s="11" t="s">
        <v>27</v>
      </c>
      <c r="B14" s="40">
        <f>B15*B16</f>
        <v>26.600819999999999</v>
      </c>
      <c r="D14" s="9"/>
    </row>
    <row r="15" spans="1:7" x14ac:dyDescent="0.25">
      <c r="A15" s="11" t="s">
        <v>28</v>
      </c>
      <c r="B15" s="39">
        <v>1.0900000000000001</v>
      </c>
      <c r="D15" s="8"/>
    </row>
    <row r="16" spans="1:7" x14ac:dyDescent="0.25">
      <c r="A16" s="11" t="s">
        <v>29</v>
      </c>
      <c r="B16" s="40">
        <v>24.404422018348622</v>
      </c>
      <c r="D16" s="8"/>
    </row>
    <row r="17" spans="1:7" ht="47.25" x14ac:dyDescent="0.25">
      <c r="A17" s="16" t="s">
        <v>32</v>
      </c>
      <c r="B17" s="37">
        <v>4000.42</v>
      </c>
      <c r="D17" s="8"/>
    </row>
    <row r="18" spans="1:7" x14ac:dyDescent="0.25">
      <c r="A18" s="11" t="s">
        <v>42</v>
      </c>
      <c r="B18" s="39">
        <v>3.0892037486640596</v>
      </c>
    </row>
    <row r="19" spans="1:7" x14ac:dyDescent="0.25">
      <c r="A19" s="11" t="s">
        <v>44</v>
      </c>
      <c r="B19" s="39">
        <v>1294.9680000000001</v>
      </c>
    </row>
    <row r="20" spans="1:7" ht="31.5" x14ac:dyDescent="0.25">
      <c r="A20" s="16" t="s">
        <v>5</v>
      </c>
      <c r="B20" s="37" t="s">
        <v>41</v>
      </c>
    </row>
    <row r="21" spans="1:7" ht="31.5" x14ac:dyDescent="0.25">
      <c r="A21" s="16" t="s">
        <v>30</v>
      </c>
      <c r="B21" s="37">
        <v>3.35</v>
      </c>
    </row>
    <row r="22" spans="1:7" ht="31.5" x14ac:dyDescent="0.25">
      <c r="A22" s="18" t="s">
        <v>31</v>
      </c>
      <c r="B22" s="37">
        <f>8457.91+2575.18</f>
        <v>11033.09</v>
      </c>
    </row>
    <row r="23" spans="1:7" ht="36" customHeight="1" x14ac:dyDescent="0.25">
      <c r="A23" s="16" t="s">
        <v>33</v>
      </c>
      <c r="B23" s="37">
        <f>11391.17+3324.606</f>
        <v>14715.776</v>
      </c>
    </row>
    <row r="24" spans="1:7" ht="31.5" x14ac:dyDescent="0.25">
      <c r="A24" s="16" t="s">
        <v>34</v>
      </c>
      <c r="B24" s="37">
        <v>10420.43</v>
      </c>
    </row>
    <row r="25" spans="1:7" ht="37.5" customHeight="1" x14ac:dyDescent="0.25">
      <c r="A25" s="16" t="s">
        <v>35</v>
      </c>
      <c r="B25" s="37">
        <v>18513.689999999999</v>
      </c>
    </row>
    <row r="26" spans="1:7" ht="31.5" x14ac:dyDescent="0.25">
      <c r="A26" s="16" t="s">
        <v>36</v>
      </c>
      <c r="B26" s="37">
        <v>873.35</v>
      </c>
      <c r="E26" s="20"/>
      <c r="F26" s="21"/>
      <c r="G26" s="24"/>
    </row>
    <row r="27" spans="1:7" x14ac:dyDescent="0.25">
      <c r="A27" s="19" t="s">
        <v>38</v>
      </c>
      <c r="B27" s="39">
        <v>657.45</v>
      </c>
      <c r="E27" s="22"/>
      <c r="F27" s="21"/>
      <c r="G27" s="24"/>
    </row>
    <row r="28" spans="1:7" x14ac:dyDescent="0.25">
      <c r="A28" s="19" t="s">
        <v>39</v>
      </c>
      <c r="B28" s="39">
        <v>85.48</v>
      </c>
      <c r="E28" s="22"/>
      <c r="F28" s="21"/>
      <c r="G28" s="24"/>
    </row>
    <row r="29" spans="1:7" ht="31.5" x14ac:dyDescent="0.25">
      <c r="A29" s="16" t="s">
        <v>37</v>
      </c>
      <c r="B29" s="37">
        <v>4959.3</v>
      </c>
      <c r="E29" s="23"/>
      <c r="F29" s="23"/>
      <c r="G29" s="23"/>
    </row>
    <row r="30" spans="1:7" x14ac:dyDescent="0.25">
      <c r="A30" s="19" t="s">
        <v>38</v>
      </c>
      <c r="B30" s="41">
        <v>98.36</v>
      </c>
      <c r="E30" s="23"/>
      <c r="F30" s="23"/>
      <c r="G30" s="23"/>
    </row>
    <row r="31" spans="1:7" x14ac:dyDescent="0.25">
      <c r="A31" s="19" t="s">
        <v>39</v>
      </c>
      <c r="B31" s="41">
        <v>0</v>
      </c>
      <c r="E31" s="23"/>
      <c r="F31" s="23"/>
      <c r="G31" s="23"/>
    </row>
    <row r="32" spans="1:7" ht="94.5" x14ac:dyDescent="0.25">
      <c r="A32" s="16" t="s">
        <v>40</v>
      </c>
      <c r="B32" s="37">
        <v>2956.24</v>
      </c>
    </row>
    <row r="33" spans="1:2" ht="47.25" x14ac:dyDescent="0.25">
      <c r="A33" s="16" t="s">
        <v>6</v>
      </c>
      <c r="B33" s="37">
        <v>2793.567</v>
      </c>
    </row>
    <row r="34" spans="1:2" ht="60" x14ac:dyDescent="0.25">
      <c r="A34" s="2" t="s">
        <v>7</v>
      </c>
      <c r="B34" s="39">
        <v>0</v>
      </c>
    </row>
    <row r="35" spans="1:2" ht="45" x14ac:dyDescent="0.25">
      <c r="A35" s="2" t="s">
        <v>8</v>
      </c>
      <c r="B35" s="64">
        <v>13422.207</v>
      </c>
    </row>
    <row r="36" spans="1:2" ht="30" x14ac:dyDescent="0.25">
      <c r="A36" s="2" t="s">
        <v>9</v>
      </c>
      <c r="B36" s="39">
        <v>-15582.57</v>
      </c>
    </row>
    <row r="37" spans="1:2" ht="60.75" x14ac:dyDescent="0.25">
      <c r="A37" s="5" t="s">
        <v>10</v>
      </c>
      <c r="B37" s="58" t="s">
        <v>50</v>
      </c>
    </row>
    <row r="38" spans="1:2" ht="45" x14ac:dyDescent="0.25">
      <c r="A38" s="2" t="s">
        <v>11</v>
      </c>
      <c r="B38" s="39">
        <v>47.94</v>
      </c>
    </row>
    <row r="39" spans="1:2" ht="30" x14ac:dyDescent="0.25">
      <c r="A39" s="2" t="s">
        <v>12</v>
      </c>
      <c r="B39" s="42">
        <v>36.94</v>
      </c>
    </row>
    <row r="40" spans="1:2" ht="45" x14ac:dyDescent="0.25">
      <c r="A40" s="2" t="s">
        <v>13</v>
      </c>
      <c r="B40" s="39">
        <v>60.339976999999998</v>
      </c>
    </row>
    <row r="41" spans="1:2" ht="45" x14ac:dyDescent="0.25">
      <c r="A41" s="2" t="s">
        <v>14</v>
      </c>
      <c r="B41" s="39">
        <v>0</v>
      </c>
    </row>
    <row r="42" spans="1:2" ht="75" x14ac:dyDescent="0.25">
      <c r="A42" s="2" t="s">
        <v>15</v>
      </c>
      <c r="B42" s="39">
        <v>45.163485000000001</v>
      </c>
    </row>
    <row r="43" spans="1:2" ht="45" x14ac:dyDescent="0.25">
      <c r="A43" s="2" t="s">
        <v>16</v>
      </c>
      <c r="B43" s="39">
        <v>192950000</v>
      </c>
    </row>
    <row r="44" spans="1:2" ht="30" x14ac:dyDescent="0.25">
      <c r="A44" s="2" t="s">
        <v>17</v>
      </c>
      <c r="B44" s="39">
        <v>2.7410040000000002</v>
      </c>
    </row>
    <row r="45" spans="1:2" ht="30" x14ac:dyDescent="0.25">
      <c r="A45" s="2" t="s">
        <v>18</v>
      </c>
      <c r="B45" s="39">
        <v>25</v>
      </c>
    </row>
    <row r="46" spans="1:2" ht="30" x14ac:dyDescent="0.25">
      <c r="A46" s="2" t="s">
        <v>19</v>
      </c>
      <c r="B46" s="39">
        <v>38</v>
      </c>
    </row>
    <row r="47" spans="1:2" ht="60" x14ac:dyDescent="0.25">
      <c r="A47" s="2" t="s">
        <v>20</v>
      </c>
      <c r="B47" s="39">
        <v>177.58820879437042</v>
      </c>
    </row>
    <row r="48" spans="1:2" ht="60" x14ac:dyDescent="0.25">
      <c r="A48" s="2" t="s">
        <v>22</v>
      </c>
      <c r="B48" s="41">
        <f>B19/(B40*1000)</f>
        <v>2.1461194789649987E-2</v>
      </c>
    </row>
    <row r="49" spans="1:2" ht="60" x14ac:dyDescent="0.25">
      <c r="A49" s="2" t="s">
        <v>21</v>
      </c>
      <c r="B49" s="41">
        <f>8796/(B40*1000)</f>
        <v>0.1457740031952614</v>
      </c>
    </row>
  </sheetData>
  <mergeCells count="2">
    <mergeCell ref="A2:B2"/>
    <mergeCell ref="A4:B4"/>
  </mergeCells>
  <dataValidations count="3">
    <dataValidation type="decimal" allowBlank="1" showErrorMessage="1" errorTitle="Ошибка" error="Допускается ввод только неотрицательных чисел!" sqref="B12:C13 G26:G28 G9:G11 D15:D17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E8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49"/>
  <sheetViews>
    <sheetView topLeftCell="A40" zoomScaleNormal="100" workbookViewId="0">
      <selection activeCell="B35" sqref="B35"/>
    </sheetView>
  </sheetViews>
  <sheetFormatPr defaultRowHeight="15" x14ac:dyDescent="0.25"/>
  <cols>
    <col min="1" max="1" width="77.5703125" customWidth="1"/>
    <col min="2" max="2" width="23.7109375" customWidth="1"/>
    <col min="4" max="4" width="20.140625" customWidth="1"/>
    <col min="5" max="5" width="60.5703125" customWidth="1"/>
    <col min="6" max="6" width="22" customWidth="1"/>
  </cols>
  <sheetData>
    <row r="2" spans="1:7" ht="15.75" x14ac:dyDescent="0.25">
      <c r="A2" s="102" t="s">
        <v>0</v>
      </c>
      <c r="B2" s="102"/>
    </row>
    <row r="3" spans="1:7" ht="15.75" x14ac:dyDescent="0.25">
      <c r="A3" s="4"/>
      <c r="B3" s="4"/>
    </row>
    <row r="4" spans="1:7" ht="15.75" x14ac:dyDescent="0.25">
      <c r="A4" s="102" t="s">
        <v>46</v>
      </c>
      <c r="B4" s="102"/>
    </row>
    <row r="5" spans="1:7" ht="15.75" x14ac:dyDescent="0.25">
      <c r="A5" s="1"/>
    </row>
    <row r="6" spans="1:7" ht="31.5" x14ac:dyDescent="0.25">
      <c r="A6" s="16" t="s">
        <v>1</v>
      </c>
      <c r="B6" s="37">
        <v>66224.259999999995</v>
      </c>
      <c r="D6" s="28"/>
    </row>
    <row r="7" spans="1:7" ht="31.5" x14ac:dyDescent="0.25">
      <c r="A7" s="16" t="s">
        <v>2</v>
      </c>
      <c r="B7" s="38">
        <f>B9+B17+B21+B22+B23+B24+B25+B26+B29+B32+B33</f>
        <v>105498.10422000001</v>
      </c>
      <c r="D7" s="6"/>
      <c r="E7" s="25"/>
    </row>
    <row r="8" spans="1:7" ht="31.5" x14ac:dyDescent="0.25">
      <c r="A8" s="16" t="s">
        <v>3</v>
      </c>
      <c r="B8" s="37">
        <v>0</v>
      </c>
      <c r="D8" s="7"/>
      <c r="E8" s="30"/>
      <c r="F8" s="31"/>
      <c r="G8" s="32"/>
    </row>
    <row r="9" spans="1:7" ht="47.25" x14ac:dyDescent="0.25">
      <c r="A9" s="16" t="s">
        <v>4</v>
      </c>
      <c r="B9" s="37">
        <f>B10+B14</f>
        <v>39718.434220000003</v>
      </c>
      <c r="D9" s="9"/>
      <c r="E9" s="33"/>
      <c r="F9" s="34"/>
      <c r="G9" s="24"/>
    </row>
    <row r="10" spans="1:7" x14ac:dyDescent="0.25">
      <c r="A10" s="11" t="s">
        <v>23</v>
      </c>
      <c r="B10" s="44">
        <f>B11*B12+B13</f>
        <v>39679.840000000004</v>
      </c>
      <c r="D10" s="9"/>
      <c r="E10" s="33"/>
      <c r="F10" s="31"/>
      <c r="G10" s="24"/>
    </row>
    <row r="11" spans="1:7" x14ac:dyDescent="0.25">
      <c r="A11" s="11" t="s">
        <v>24</v>
      </c>
      <c r="B11" s="39">
        <v>8262.43</v>
      </c>
      <c r="D11" s="8"/>
      <c r="E11" s="33"/>
      <c r="F11" s="31"/>
      <c r="G11" s="24"/>
    </row>
    <row r="12" spans="1:7" x14ac:dyDescent="0.25">
      <c r="A12" s="11" t="s">
        <v>25</v>
      </c>
      <c r="B12" s="39">
        <v>4.5443144450240425</v>
      </c>
      <c r="C12" s="10"/>
      <c r="D12" s="8"/>
      <c r="E12" s="35"/>
      <c r="F12" s="35"/>
      <c r="G12" s="35"/>
    </row>
    <row r="13" spans="1:7" x14ac:dyDescent="0.25">
      <c r="A13" s="11" t="s">
        <v>26</v>
      </c>
      <c r="B13" s="39">
        <v>2132.7600000000002</v>
      </c>
      <c r="C13" s="10"/>
      <c r="D13" s="8"/>
    </row>
    <row r="14" spans="1:7" x14ac:dyDescent="0.25">
      <c r="A14" s="11" t="s">
        <v>27</v>
      </c>
      <c r="B14" s="40">
        <f>B15*B16</f>
        <v>38.594220000000007</v>
      </c>
      <c r="D14" s="9"/>
    </row>
    <row r="15" spans="1:7" x14ac:dyDescent="0.25">
      <c r="A15" s="11" t="s">
        <v>28</v>
      </c>
      <c r="B15" s="40">
        <v>1.6</v>
      </c>
      <c r="D15" s="8"/>
    </row>
    <row r="16" spans="1:7" x14ac:dyDescent="0.25">
      <c r="A16" s="11" t="s">
        <v>29</v>
      </c>
      <c r="B16" s="40">
        <f>38594.22/B15/1000</f>
        <v>24.121387500000001</v>
      </c>
      <c r="D16" s="8"/>
    </row>
    <row r="17" spans="1:7" ht="47.25" x14ac:dyDescent="0.25">
      <c r="A17" s="16" t="s">
        <v>32</v>
      </c>
      <c r="B17" s="37">
        <v>3834.03</v>
      </c>
      <c r="D17" s="8"/>
    </row>
    <row r="18" spans="1:7" x14ac:dyDescent="0.25">
      <c r="A18" s="11" t="s">
        <v>42</v>
      </c>
      <c r="B18" s="39">
        <f>B17/B19</f>
        <v>3.1623082855292952</v>
      </c>
    </row>
    <row r="19" spans="1:7" x14ac:dyDescent="0.25">
      <c r="A19" s="11" t="s">
        <v>44</v>
      </c>
      <c r="B19" s="39">
        <v>1212.415</v>
      </c>
    </row>
    <row r="20" spans="1:7" ht="31.5" x14ac:dyDescent="0.25">
      <c r="A20" s="16" t="s">
        <v>5</v>
      </c>
      <c r="B20" s="37" t="s">
        <v>41</v>
      </c>
    </row>
    <row r="21" spans="1:7" ht="31.5" x14ac:dyDescent="0.25">
      <c r="A21" s="16" t="s">
        <v>30</v>
      </c>
      <c r="B21" s="37">
        <v>25.24</v>
      </c>
    </row>
    <row r="22" spans="1:7" ht="31.5" x14ac:dyDescent="0.25">
      <c r="A22" s="18" t="s">
        <v>31</v>
      </c>
      <c r="B22" s="37">
        <f>7834.97+2379.18</f>
        <v>10214.15</v>
      </c>
    </row>
    <row r="23" spans="1:7" ht="36" customHeight="1" x14ac:dyDescent="0.25">
      <c r="A23" s="16" t="s">
        <v>33</v>
      </c>
      <c r="B23" s="37">
        <f>9702.66+2781.69</f>
        <v>12484.35</v>
      </c>
    </row>
    <row r="24" spans="1:7" ht="31.5" x14ac:dyDescent="0.25">
      <c r="A24" s="16" t="s">
        <v>34</v>
      </c>
      <c r="B24" s="37">
        <v>9225.08</v>
      </c>
    </row>
    <row r="25" spans="1:7" ht="37.5" customHeight="1" x14ac:dyDescent="0.25">
      <c r="A25" s="16" t="s">
        <v>35</v>
      </c>
      <c r="B25" s="37">
        <v>19379.39</v>
      </c>
    </row>
    <row r="26" spans="1:7" ht="31.5" x14ac:dyDescent="0.25">
      <c r="A26" s="16" t="s">
        <v>36</v>
      </c>
      <c r="B26" s="37">
        <v>712.81</v>
      </c>
      <c r="D26" s="8"/>
      <c r="E26" s="20"/>
      <c r="F26" s="21"/>
      <c r="G26" s="24"/>
    </row>
    <row r="27" spans="1:7" x14ac:dyDescent="0.25">
      <c r="A27" s="19" t="s">
        <v>38</v>
      </c>
      <c r="B27" s="39">
        <v>240.68</v>
      </c>
      <c r="E27" s="22"/>
      <c r="F27" s="21"/>
      <c r="G27" s="24"/>
    </row>
    <row r="28" spans="1:7" x14ac:dyDescent="0.25">
      <c r="A28" s="19" t="s">
        <v>39</v>
      </c>
      <c r="B28" s="39">
        <v>0</v>
      </c>
      <c r="E28" s="22"/>
      <c r="F28" s="21"/>
      <c r="G28" s="24"/>
    </row>
    <row r="29" spans="1:7" ht="31.5" x14ac:dyDescent="0.25">
      <c r="A29" s="16" t="s">
        <v>37</v>
      </c>
      <c r="B29" s="37">
        <f>17190.06-B23</f>
        <v>4705.7100000000009</v>
      </c>
      <c r="E29" s="23"/>
      <c r="F29" s="23"/>
      <c r="G29" s="23"/>
    </row>
    <row r="30" spans="1:7" x14ac:dyDescent="0.25">
      <c r="A30" s="19" t="s">
        <v>38</v>
      </c>
      <c r="B30" s="41">
        <v>883.21</v>
      </c>
      <c r="E30" s="23"/>
      <c r="F30" s="23"/>
      <c r="G30" s="23"/>
    </row>
    <row r="31" spans="1:7" x14ac:dyDescent="0.25">
      <c r="A31" s="19" t="s">
        <v>39</v>
      </c>
      <c r="B31" s="41">
        <v>0</v>
      </c>
      <c r="E31" s="23"/>
      <c r="F31" s="23"/>
      <c r="G31" s="23"/>
    </row>
    <row r="32" spans="1:7" ht="94.5" x14ac:dyDescent="0.25">
      <c r="A32" s="16" t="s">
        <v>40</v>
      </c>
      <c r="B32" s="37">
        <v>2522.2000000000003</v>
      </c>
    </row>
    <row r="33" spans="1:2" ht="47.25" x14ac:dyDescent="0.25">
      <c r="A33" s="16" t="s">
        <v>6</v>
      </c>
      <c r="B33" s="37">
        <f>2607.12+69.59</f>
        <v>2676.71</v>
      </c>
    </row>
    <row r="34" spans="1:2" ht="60" x14ac:dyDescent="0.25">
      <c r="A34" s="2" t="s">
        <v>7</v>
      </c>
      <c r="B34" s="39">
        <v>0</v>
      </c>
    </row>
    <row r="35" spans="1:2" ht="45" x14ac:dyDescent="0.25">
      <c r="A35" s="2" t="s">
        <v>8</v>
      </c>
      <c r="B35" s="63">
        <v>-133.04</v>
      </c>
    </row>
    <row r="36" spans="1:2" ht="30" x14ac:dyDescent="0.25">
      <c r="A36" s="2" t="s">
        <v>9</v>
      </c>
      <c r="B36" s="59">
        <v>-16476</v>
      </c>
    </row>
    <row r="37" spans="1:2" ht="60.75" x14ac:dyDescent="0.25">
      <c r="A37" s="5" t="s">
        <v>10</v>
      </c>
      <c r="B37" s="58" t="s">
        <v>50</v>
      </c>
    </row>
    <row r="38" spans="1:2" ht="45" x14ac:dyDescent="0.25">
      <c r="A38" s="2" t="s">
        <v>11</v>
      </c>
      <c r="B38" s="39">
        <v>54.44</v>
      </c>
    </row>
    <row r="39" spans="1:2" ht="30" x14ac:dyDescent="0.25">
      <c r="A39" s="2" t="s">
        <v>12</v>
      </c>
      <c r="B39" s="42">
        <v>36.94</v>
      </c>
    </row>
    <row r="40" spans="1:2" ht="45" x14ac:dyDescent="0.25">
      <c r="A40" s="2" t="s">
        <v>13</v>
      </c>
      <c r="B40" s="39">
        <v>56.369399999999999</v>
      </c>
    </row>
    <row r="41" spans="1:2" ht="45" x14ac:dyDescent="0.25">
      <c r="A41" s="2" t="s">
        <v>14</v>
      </c>
      <c r="B41" s="39">
        <v>0</v>
      </c>
    </row>
    <row r="42" spans="1:2" ht="75" x14ac:dyDescent="0.25">
      <c r="A42" s="2" t="s">
        <v>15</v>
      </c>
      <c r="B42" s="39">
        <v>42.523172000000002</v>
      </c>
    </row>
    <row r="43" spans="1:2" ht="45" x14ac:dyDescent="0.25">
      <c r="A43" s="2" t="s">
        <v>16</v>
      </c>
      <c r="B43" s="39">
        <v>192950000</v>
      </c>
    </row>
    <row r="44" spans="1:2" ht="30" x14ac:dyDescent="0.25">
      <c r="A44" s="2" t="s">
        <v>17</v>
      </c>
      <c r="B44" s="39">
        <v>2.8246950000000002</v>
      </c>
    </row>
    <row r="45" spans="1:2" ht="30" x14ac:dyDescent="0.25">
      <c r="A45" s="2" t="s">
        <v>18</v>
      </c>
      <c r="B45" s="39">
        <v>24</v>
      </c>
    </row>
    <row r="46" spans="1:2" ht="30" x14ac:dyDescent="0.25">
      <c r="A46" s="2" t="s">
        <v>19</v>
      </c>
      <c r="B46" s="39">
        <v>40</v>
      </c>
    </row>
    <row r="47" spans="1:2" ht="60" x14ac:dyDescent="0.25">
      <c r="A47" s="2" t="s">
        <v>20</v>
      </c>
      <c r="B47" s="39">
        <v>174.45</v>
      </c>
    </row>
    <row r="48" spans="1:2" ht="60" x14ac:dyDescent="0.25">
      <c r="A48" s="2" t="s">
        <v>22</v>
      </c>
      <c r="B48" s="41">
        <f>B19/(B40*1000)</f>
        <v>2.1508389303416392E-2</v>
      </c>
    </row>
    <row r="49" spans="1:2" ht="60" x14ac:dyDescent="0.25">
      <c r="A49" s="2" t="s">
        <v>21</v>
      </c>
      <c r="B49" s="41">
        <f>15065/(B40*1000)</f>
        <v>0.26725492909273468</v>
      </c>
    </row>
  </sheetData>
  <mergeCells count="2">
    <mergeCell ref="A2:B2"/>
    <mergeCell ref="A4:B4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8">
      <formula1>kind_of_fuels</formula1>
    </dataValidation>
    <dataValidation type="decimal" allowBlank="1" showErrorMessage="1" errorTitle="Ошибка" error="Допускается ввод только неотрицательных чисел!" sqref="B12:C13 G26:G28 G9:G11 D11:D13 D15:D17 B15:B16 D26">
      <formula1>0</formula1>
      <formula2>9.99999999999999E+23</formula2>
    </dataValidation>
  </dataValidations>
  <pageMargins left="0.7" right="0.7" top="0.75" bottom="0.75" header="0.3" footer="0.3"/>
  <pageSetup paperSize="9" scale="86" orientation="portrait" horizontalDpi="180" verticalDpi="180" r:id="rId1"/>
  <colBreaks count="1" manualBreakCount="1">
    <brk id="2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167</vt:i4>
      </vt:variant>
    </vt:vector>
  </HeadingPairs>
  <TitlesOfParts>
    <vt:vector size="178" baseType="lpstr">
      <vt:lpstr>2023</vt:lpstr>
      <vt:lpstr>2022</vt:lpstr>
      <vt:lpstr>2021</vt:lpstr>
      <vt:lpstr>2020</vt:lpstr>
      <vt:lpstr>2019</vt:lpstr>
      <vt:lpstr>2018</vt:lpstr>
      <vt:lpstr>2017 </vt:lpstr>
      <vt:lpstr>2016</vt:lpstr>
      <vt:lpstr>2015</vt:lpstr>
      <vt:lpstr>2014</vt:lpstr>
      <vt:lpstr>2013</vt:lpstr>
      <vt:lpstr>'2013'!flagSum_List02_2</vt:lpstr>
      <vt:lpstr>'2014'!flagSum_List02_2</vt:lpstr>
      <vt:lpstr>flagSum_List02_2</vt:lpstr>
      <vt:lpstr>'2013'!sub_1008</vt:lpstr>
      <vt:lpstr>'2014'!sub_1008</vt:lpstr>
      <vt:lpstr>'2015'!sub_1008</vt:lpstr>
      <vt:lpstr>'2016'!sub_1008</vt:lpstr>
      <vt:lpstr>'2017 '!sub_1008</vt:lpstr>
      <vt:lpstr>'2013'!sub_100801</vt:lpstr>
      <vt:lpstr>'2014'!sub_100801</vt:lpstr>
      <vt:lpstr>'2015'!sub_100801</vt:lpstr>
      <vt:lpstr>'2016'!sub_100801</vt:lpstr>
      <vt:lpstr>'2017 '!sub_100801</vt:lpstr>
      <vt:lpstr>'2013'!sub_100802</vt:lpstr>
      <vt:lpstr>'2014'!sub_100802</vt:lpstr>
      <vt:lpstr>'2015'!sub_100802</vt:lpstr>
      <vt:lpstr>'2016'!sub_100802</vt:lpstr>
      <vt:lpstr>'2017 '!sub_100802</vt:lpstr>
      <vt:lpstr>'2013'!sub_10080201</vt:lpstr>
      <vt:lpstr>'2014'!sub_10080201</vt:lpstr>
      <vt:lpstr>'2015'!sub_10080201</vt:lpstr>
      <vt:lpstr>'2016'!sub_10080201</vt:lpstr>
      <vt:lpstr>'2017 '!sub_10080201</vt:lpstr>
      <vt:lpstr>'2013'!sub_10080202</vt:lpstr>
      <vt:lpstr>'2014'!sub_10080202</vt:lpstr>
      <vt:lpstr>'2015'!sub_10080202</vt:lpstr>
      <vt:lpstr>'2016'!sub_10080202</vt:lpstr>
      <vt:lpstr>'2017 '!sub_10080202</vt:lpstr>
      <vt:lpstr>'2013'!sub_10080203</vt:lpstr>
      <vt:lpstr>'2014'!sub_10080203</vt:lpstr>
      <vt:lpstr>'2015'!sub_10080203</vt:lpstr>
      <vt:lpstr>'2016'!sub_10080203</vt:lpstr>
      <vt:lpstr>'2017 '!sub_10080203</vt:lpstr>
      <vt:lpstr>'2013'!sub_10080204</vt:lpstr>
      <vt:lpstr>'2014'!sub_10080204</vt:lpstr>
      <vt:lpstr>'2015'!sub_10080204</vt:lpstr>
      <vt:lpstr>'2016'!sub_10080204</vt:lpstr>
      <vt:lpstr>'2017 '!sub_10080204</vt:lpstr>
      <vt:lpstr>'2013'!sub_10080205</vt:lpstr>
      <vt:lpstr>'2014'!sub_10080205</vt:lpstr>
      <vt:lpstr>'2015'!sub_10080205</vt:lpstr>
      <vt:lpstr>'2016'!sub_10080205</vt:lpstr>
      <vt:lpstr>'2017 '!sub_10080205</vt:lpstr>
      <vt:lpstr>'2013'!sub_10080206</vt:lpstr>
      <vt:lpstr>'2014'!sub_10080206</vt:lpstr>
      <vt:lpstr>'2015'!sub_10080206</vt:lpstr>
      <vt:lpstr>'2016'!sub_10080206</vt:lpstr>
      <vt:lpstr>'2017 '!sub_10080206</vt:lpstr>
      <vt:lpstr>'2013'!sub_10080207</vt:lpstr>
      <vt:lpstr>'2014'!sub_10080207</vt:lpstr>
      <vt:lpstr>'2015'!sub_10080207</vt:lpstr>
      <vt:lpstr>'2016'!sub_10080207</vt:lpstr>
      <vt:lpstr>'2017 '!sub_10080207</vt:lpstr>
      <vt:lpstr>'2013'!sub_10080208</vt:lpstr>
      <vt:lpstr>'2014'!sub_10080208</vt:lpstr>
      <vt:lpstr>'2015'!sub_10080208</vt:lpstr>
      <vt:lpstr>'2016'!sub_10080208</vt:lpstr>
      <vt:lpstr>'2017 '!sub_10080208</vt:lpstr>
      <vt:lpstr>'2013'!sub_10080209</vt:lpstr>
      <vt:lpstr>'2014'!sub_10080209</vt:lpstr>
      <vt:lpstr>'2015'!sub_10080209</vt:lpstr>
      <vt:lpstr>'2016'!sub_10080209</vt:lpstr>
      <vt:lpstr>'2017 '!sub_10080209</vt:lpstr>
      <vt:lpstr>'2013'!sub_10080210</vt:lpstr>
      <vt:lpstr>'2014'!sub_10080210</vt:lpstr>
      <vt:lpstr>'2015'!sub_10080210</vt:lpstr>
      <vt:lpstr>'2016'!sub_10080210</vt:lpstr>
      <vt:lpstr>'2017 '!sub_10080210</vt:lpstr>
      <vt:lpstr>'2013'!sub_10080211</vt:lpstr>
      <vt:lpstr>'2014'!sub_10080211</vt:lpstr>
      <vt:lpstr>'2015'!sub_10080211</vt:lpstr>
      <vt:lpstr>'2016'!sub_10080211</vt:lpstr>
      <vt:lpstr>'2017 '!sub_10080211</vt:lpstr>
      <vt:lpstr>'2013'!sub_10080212</vt:lpstr>
      <vt:lpstr>'2014'!sub_10080212</vt:lpstr>
      <vt:lpstr>'2015'!sub_10080212</vt:lpstr>
      <vt:lpstr>'2016'!sub_10080212</vt:lpstr>
      <vt:lpstr>'2017 '!sub_10080212</vt:lpstr>
      <vt:lpstr>'2013'!sub_10080213</vt:lpstr>
      <vt:lpstr>'2014'!sub_10080213</vt:lpstr>
      <vt:lpstr>'2015'!sub_10080213</vt:lpstr>
      <vt:lpstr>'2016'!sub_10080213</vt:lpstr>
      <vt:lpstr>'2017 '!sub_10080213</vt:lpstr>
      <vt:lpstr>'2013'!sub_100803</vt:lpstr>
      <vt:lpstr>'2014'!sub_100803</vt:lpstr>
      <vt:lpstr>'2015'!sub_100803</vt:lpstr>
      <vt:lpstr>'2016'!sub_100803</vt:lpstr>
      <vt:lpstr>'2017 '!sub_100803</vt:lpstr>
      <vt:lpstr>'2013'!sub_100804</vt:lpstr>
      <vt:lpstr>'2014'!sub_100804</vt:lpstr>
      <vt:lpstr>'2015'!sub_100804</vt:lpstr>
      <vt:lpstr>'2016'!sub_100804</vt:lpstr>
      <vt:lpstr>'2017 '!sub_100804</vt:lpstr>
      <vt:lpstr>'2013'!sub_100805</vt:lpstr>
      <vt:lpstr>'2014'!sub_100805</vt:lpstr>
      <vt:lpstr>'2015'!sub_100805</vt:lpstr>
      <vt:lpstr>'2016'!sub_100805</vt:lpstr>
      <vt:lpstr>'2017 '!sub_100805</vt:lpstr>
      <vt:lpstr>'2013'!sub_100806</vt:lpstr>
      <vt:lpstr>'2014'!sub_100806</vt:lpstr>
      <vt:lpstr>'2015'!sub_100806</vt:lpstr>
      <vt:lpstr>'2016'!sub_100806</vt:lpstr>
      <vt:lpstr>'2017 '!sub_100806</vt:lpstr>
      <vt:lpstr>'2013'!sub_100807</vt:lpstr>
      <vt:lpstr>'2014'!sub_100807</vt:lpstr>
      <vt:lpstr>'2015'!sub_100807</vt:lpstr>
      <vt:lpstr>'2016'!sub_100807</vt:lpstr>
      <vt:lpstr>'2017 '!sub_100807</vt:lpstr>
      <vt:lpstr>'2013'!sub_100808</vt:lpstr>
      <vt:lpstr>'2014'!sub_100808</vt:lpstr>
      <vt:lpstr>'2015'!sub_100808</vt:lpstr>
      <vt:lpstr>'2016'!sub_100808</vt:lpstr>
      <vt:lpstr>'2017 '!sub_100808</vt:lpstr>
      <vt:lpstr>'2013'!sub_100809</vt:lpstr>
      <vt:lpstr>'2014'!sub_100809</vt:lpstr>
      <vt:lpstr>'2015'!sub_100809</vt:lpstr>
      <vt:lpstr>'2016'!sub_100809</vt:lpstr>
      <vt:lpstr>'2017 '!sub_100809</vt:lpstr>
      <vt:lpstr>'2013'!sub_100810</vt:lpstr>
      <vt:lpstr>'2014'!sub_100810</vt:lpstr>
      <vt:lpstr>'2015'!sub_100810</vt:lpstr>
      <vt:lpstr>'2016'!sub_100810</vt:lpstr>
      <vt:lpstr>'2017 '!sub_100810</vt:lpstr>
      <vt:lpstr>'2013'!sub_100811</vt:lpstr>
      <vt:lpstr>'2014'!sub_100811</vt:lpstr>
      <vt:lpstr>'2015'!sub_100811</vt:lpstr>
      <vt:lpstr>'2016'!sub_100811</vt:lpstr>
      <vt:lpstr>'2017 '!sub_100811</vt:lpstr>
      <vt:lpstr>'2013'!sub_100812</vt:lpstr>
      <vt:lpstr>'2014'!sub_100812</vt:lpstr>
      <vt:lpstr>'2015'!sub_100812</vt:lpstr>
      <vt:lpstr>'2016'!sub_100812</vt:lpstr>
      <vt:lpstr>'2017 '!sub_100812</vt:lpstr>
      <vt:lpstr>'2013'!sub_100813</vt:lpstr>
      <vt:lpstr>'2014'!sub_100813</vt:lpstr>
      <vt:lpstr>'2015'!sub_100813</vt:lpstr>
      <vt:lpstr>'2016'!sub_100813</vt:lpstr>
      <vt:lpstr>'2017 '!sub_100813</vt:lpstr>
      <vt:lpstr>'2013'!sub_100814</vt:lpstr>
      <vt:lpstr>'2014'!sub_100814</vt:lpstr>
      <vt:lpstr>'2015'!sub_100814</vt:lpstr>
      <vt:lpstr>'2016'!sub_100814</vt:lpstr>
      <vt:lpstr>'2017 '!sub_100814</vt:lpstr>
      <vt:lpstr>'2013'!sub_100815</vt:lpstr>
      <vt:lpstr>'2014'!sub_100815</vt:lpstr>
      <vt:lpstr>'2015'!sub_100815</vt:lpstr>
      <vt:lpstr>'2016'!sub_100815</vt:lpstr>
      <vt:lpstr>'2017 '!sub_100815</vt:lpstr>
      <vt:lpstr>'2013'!sub_100816</vt:lpstr>
      <vt:lpstr>'2014'!sub_100816</vt:lpstr>
      <vt:lpstr>'2015'!sub_100816</vt:lpstr>
      <vt:lpstr>'2016'!sub_100816</vt:lpstr>
      <vt:lpstr>'2017 '!sub_100816</vt:lpstr>
      <vt:lpstr>'2013'!sub_100817</vt:lpstr>
      <vt:lpstr>'2014'!sub_100817</vt:lpstr>
      <vt:lpstr>'2015'!sub_100817</vt:lpstr>
      <vt:lpstr>'2016'!sub_100817</vt:lpstr>
      <vt:lpstr>'2017 '!sub_100817</vt:lpstr>
      <vt:lpstr>'2013'!sub_100818</vt:lpstr>
      <vt:lpstr>'2014'!sub_100818</vt:lpstr>
      <vt:lpstr>'2015'!sub_100818</vt:lpstr>
      <vt:lpstr>'2016'!sub_100818</vt:lpstr>
      <vt:lpstr>'2017 '!sub_100818</vt:lpstr>
      <vt:lpstr>'2013'!Область_печати</vt:lpstr>
      <vt:lpstr>'2015'!Область_печати</vt:lpstr>
      <vt:lpstr>'2018'!Область_печати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2024-02-20T13:17:44Z</dcterms:modified>
</cp:coreProperties>
</file>